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792" activeTab="1"/>
  </bookViews>
  <sheets>
    <sheet name="NhapLieu&amp;NDTT" sheetId="1" r:id="rId1"/>
    <sheet name="KetQuaTT" sheetId="2" r:id="rId2"/>
  </sheets>
  <definedNames>
    <definedName name="bangtra" localSheetId="1">'KetQuaTT'!#REF!</definedName>
    <definedName name="bangtra" localSheetId="0">'NhapLieu&amp;NDTT'!#REF!</definedName>
    <definedName name="bangtra">#REF!</definedName>
    <definedName name="BTRA" localSheetId="1">'KetQuaTT'!#REF!</definedName>
    <definedName name="BTRA" localSheetId="0">'NhapLieu&amp;NDTT'!#REF!</definedName>
    <definedName name="BTRA">#REF!</definedName>
  </definedNames>
  <calcPr fullCalcOnLoad="1"/>
</workbook>
</file>

<file path=xl/sharedStrings.xml><?xml version="1.0" encoding="utf-8"?>
<sst xmlns="http://schemas.openxmlformats.org/spreadsheetml/2006/main" count="224" uniqueCount="149">
  <si>
    <t>Dmax = 10</t>
  </si>
  <si>
    <t>Dmax = 20</t>
  </si>
  <si>
    <t>Dmax = 40</t>
  </si>
  <si>
    <t>Dmax = 70</t>
  </si>
  <si>
    <t>1.5 - 1.9</t>
  </si>
  <si>
    <t>Ñoä suït</t>
  </si>
  <si>
    <t>(cm)</t>
  </si>
  <si>
    <t>kg</t>
  </si>
  <si>
    <t>2 - 2.4</t>
  </si>
  <si>
    <t>MPa</t>
  </si>
  <si>
    <t>mm</t>
  </si>
  <si>
    <t>I. CAÙC THOÂNG SOÁ KYÕ THUAÄT:</t>
  </si>
  <si>
    <t>1.2. Yeâu caàu veà vaät lieäu:</t>
  </si>
  <si>
    <t>1.2.1. Xi maêng :</t>
  </si>
  <si>
    <t>1.2.3. Caùt :</t>
  </si>
  <si>
    <t>1.2.4. Phuï gia :</t>
  </si>
  <si>
    <t>II. CAÙC KEÁT QUAÛ TÍNH TOAÙN</t>
  </si>
  <si>
    <t>cm</t>
  </si>
  <si>
    <t>2.5 - 3</t>
  </si>
  <si>
    <t>lít</t>
  </si>
  <si>
    <t>=&gt; Löôïng Nöôùc (tra baûng) :</t>
  </si>
  <si>
    <t>=&gt; Löôïng Xi maêng :</t>
  </si>
  <si>
    <t>=&gt; Löôïng Xi maêng sau khi hieäu chænh :</t>
  </si>
  <si>
    <r>
      <t xml:space="preserve"> - Heä soá dö vöõa hôïp lyù (k</t>
    </r>
    <r>
      <rPr>
        <vertAlign val="subscript"/>
        <sz val="12"/>
        <rFont val="VNI-Times"/>
        <family val="0"/>
      </rPr>
      <t>d</t>
    </r>
    <r>
      <rPr>
        <sz val="12"/>
        <rFont val="VNI-Times"/>
        <family val="0"/>
      </rPr>
      <t>) :</t>
    </r>
  </si>
  <si>
    <t>l/m3</t>
  </si>
  <si>
    <r>
      <t>K</t>
    </r>
    <r>
      <rPr>
        <vertAlign val="subscript"/>
        <sz val="12"/>
        <rFont val="VNI-Times"/>
        <family val="0"/>
      </rPr>
      <t>d</t>
    </r>
    <r>
      <rPr>
        <sz val="12"/>
        <rFont val="VNI-Times"/>
        <family val="0"/>
      </rPr>
      <t xml:space="preserve"> öùng vôùi V</t>
    </r>
    <r>
      <rPr>
        <vertAlign val="subscript"/>
        <sz val="12"/>
        <rFont val="VNI-Times"/>
        <family val="0"/>
      </rPr>
      <t>H</t>
    </r>
  </si>
  <si>
    <r>
      <t>Khoaûng chöùa V</t>
    </r>
    <r>
      <rPr>
        <vertAlign val="subscript"/>
        <sz val="12"/>
        <rFont val="VNI-Times"/>
        <family val="0"/>
      </rPr>
      <t>H</t>
    </r>
  </si>
  <si>
    <t>min</t>
  </si>
  <si>
    <t>max</t>
  </si>
  <si>
    <t>TT</t>
  </si>
  <si>
    <t xml:space="preserve"> =&gt;</t>
  </si>
  <si>
    <t xml:space="preserve"> Khoaûng chöùa</t>
  </si>
  <si>
    <t xml:space="preserve">   moâ ñun ñoä</t>
  </si>
  <si>
    <t xml:space="preserve">   lôùn cuûa caùt</t>
  </si>
  <si>
    <t>=&gt; Löôïng Ñaù :</t>
  </si>
  <si>
    <t xml:space="preserve">thieát keá </t>
  </si>
  <si>
    <t>Moâ ñun ñoä lôùn cuûa caùt</t>
  </si>
  <si>
    <r>
      <t xml:space="preserve"> - Ñoä roãng giöõa caùc coát lieäu lôùn (r</t>
    </r>
    <r>
      <rPr>
        <vertAlign val="subscript"/>
        <sz val="12"/>
        <rFont val="VNI-Times"/>
        <family val="0"/>
      </rPr>
      <t>ñ</t>
    </r>
    <r>
      <rPr>
        <sz val="12"/>
        <rFont val="VNI-Times"/>
        <family val="0"/>
      </rPr>
      <t>) :</t>
    </r>
  </si>
  <si>
    <r>
      <t>+ Tính V</t>
    </r>
    <r>
      <rPr>
        <vertAlign val="subscript"/>
        <sz val="12"/>
        <rFont val="VNI-Times"/>
        <family val="0"/>
      </rPr>
      <t>h</t>
    </r>
    <r>
      <rPr>
        <sz val="12"/>
        <rFont val="VNI-Times"/>
        <family val="0"/>
      </rPr>
      <t xml:space="preserve"> =</t>
    </r>
  </si>
  <si>
    <r>
      <t>g/cm</t>
    </r>
    <r>
      <rPr>
        <vertAlign val="superscript"/>
        <sz val="12"/>
        <rFont val="VNI-Times"/>
        <family val="0"/>
      </rPr>
      <t>3</t>
    </r>
  </si>
  <si>
    <r>
      <t>kg/m</t>
    </r>
    <r>
      <rPr>
        <vertAlign val="superscript"/>
        <sz val="12"/>
        <rFont val="VNI-Times"/>
        <family val="0"/>
      </rPr>
      <t>3</t>
    </r>
  </si>
  <si>
    <r>
      <t>1.2.5. Heä soá chaát löôïng vaät lieäu A; A</t>
    </r>
    <r>
      <rPr>
        <b/>
        <i/>
        <vertAlign val="subscript"/>
        <sz val="12"/>
        <rFont val="VNI-Times"/>
        <family val="0"/>
      </rPr>
      <t xml:space="preserve">1 </t>
    </r>
    <r>
      <rPr>
        <b/>
        <i/>
        <sz val="12"/>
        <rFont val="VNI-Times"/>
        <family val="0"/>
      </rPr>
      <t>(Tra baûng)</t>
    </r>
  </si>
  <si>
    <t>2.1.  Ñoä suït (ÑS) :</t>
  </si>
  <si>
    <t xml:space="preserve">2.2.  Xaùc ñònh löôïng nöôùc (N) </t>
  </si>
  <si>
    <r>
      <t>Baûng löôïng nöôùc troän ban ñaàu caàn cho 1m</t>
    </r>
    <r>
      <rPr>
        <b/>
        <i/>
        <vertAlign val="superscript"/>
        <sz val="12"/>
        <rFont val="VNI-Times"/>
        <family val="0"/>
      </rPr>
      <t>3</t>
    </r>
    <r>
      <rPr>
        <b/>
        <i/>
        <sz val="12"/>
        <rFont val="VNI-Times"/>
        <family val="0"/>
      </rPr>
      <t xml:space="preserve"> beâ toâng (lít)</t>
    </r>
  </si>
  <si>
    <t>2.3.  Xaùc ñònh tyû leä X/N :</t>
  </si>
  <si>
    <t>2.4. Löôïng coát lieäu lôùn (Ñ) :</t>
  </si>
  <si>
    <t>2.5. Löôïng coát lieäu nhoû (C) :</t>
  </si>
  <si>
    <t>Kích thöôùc haït lôùn nhaát cuûa coät lieäu lôùn Dmax (mm)</t>
  </si>
  <si>
    <t>1.1. Yeâu caàu veà Beâ toâng:</t>
  </si>
  <si>
    <t>" CHÆ DAÃN KYÕ THUAÄT :  CHOÏN THAØNH PHAÀN BEÂTOÂNG CAÙC LOAÏI "</t>
  </si>
  <si>
    <t>TÍNH TOAÙN THAØNH PHAÀN CAÁP PHOÁI BEÂ TOÂNG XI MAÊNG THEO</t>
  </si>
  <si>
    <t xml:space="preserve">Chaát </t>
  </si>
  <si>
    <t xml:space="preserve">löôïng </t>
  </si>
  <si>
    <t>A</t>
  </si>
  <si>
    <t>A1</t>
  </si>
  <si>
    <t>lieäu</t>
  </si>
  <si>
    <t>vaät</t>
  </si>
  <si>
    <t xml:space="preserve">       CHÆ TIEÂU ÑAÙNH GIAÙ</t>
  </si>
  <si>
    <t>Toát</t>
  </si>
  <si>
    <t>Trung</t>
  </si>
  <si>
    <t>bình</t>
  </si>
  <si>
    <t xml:space="preserve">Keùm </t>
  </si>
  <si>
    <t xml:space="preserve">    TCVN4032 -1985</t>
  </si>
  <si>
    <t xml:space="preserve"> =&gt; Heä soá chaát löôïng vaät lieäu (A) :</t>
  </si>
  <si>
    <r>
      <t xml:space="preserve"> =&gt; Heä soá chaát löôïng vaät lieäu (A</t>
    </r>
    <r>
      <rPr>
        <vertAlign val="subscript"/>
        <sz val="12"/>
        <rFont val="VNI-Times"/>
        <family val="0"/>
      </rPr>
      <t>1</t>
    </r>
    <r>
      <rPr>
        <sz val="12"/>
        <rFont val="VNI-Times"/>
        <family val="0"/>
      </rPr>
      <t>) :</t>
    </r>
  </si>
  <si>
    <t>Moâ ñun</t>
  </si>
  <si>
    <t>ñoä lôùn</t>
  </si>
  <si>
    <t>cuûa caùt</t>
  </si>
  <si>
    <r>
      <t>K</t>
    </r>
    <r>
      <rPr>
        <b/>
        <vertAlign val="subscript"/>
        <sz val="12"/>
        <rFont val="VNI-Times"/>
        <family val="0"/>
      </rPr>
      <t>d</t>
    </r>
    <r>
      <rPr>
        <b/>
        <sz val="12"/>
        <rFont val="VNI-Times"/>
        <family val="0"/>
      </rPr>
      <t xml:space="preserve"> öùng vôùi giaù trò V</t>
    </r>
    <r>
      <rPr>
        <b/>
        <vertAlign val="subscript"/>
        <sz val="12"/>
        <rFont val="VNI-Times"/>
        <family val="0"/>
      </rPr>
      <t>H</t>
    </r>
    <r>
      <rPr>
        <b/>
        <sz val="12"/>
        <rFont val="VNI-Times"/>
        <family val="0"/>
      </rPr>
      <t xml:space="preserve"> (lít) baèng </t>
    </r>
  </si>
  <si>
    <t xml:space="preserve">Baûng : Heä soá dö vöõa hôïp lyù (Kñ) duøng cho hoãn hôïp beâ toâng deûo (ÑS = 2 - 12 cm) </t>
  </si>
  <si>
    <r>
      <t>+ Caùc thoâng soá phuïc vuï tính toaùn (k</t>
    </r>
    <r>
      <rPr>
        <b/>
        <vertAlign val="subscript"/>
        <sz val="12"/>
        <rFont val="VNI-Times"/>
        <family val="0"/>
      </rPr>
      <t>d</t>
    </r>
    <r>
      <rPr>
        <b/>
        <sz val="12"/>
        <rFont val="VNI-Times"/>
        <family val="0"/>
      </rPr>
      <t>) :</t>
    </r>
  </si>
  <si>
    <t xml:space="preserve">Choïn </t>
  </si>
  <si>
    <t>%</t>
  </si>
  <si>
    <t xml:space="preserve"> + Tính chaát cô lyù cuûa xi maêng </t>
  </si>
  <si>
    <r>
      <t xml:space="preserve">     - Cöôøng ñoä thöïc teá cuûa Xi maêng (R</t>
    </r>
    <r>
      <rPr>
        <vertAlign val="subscript"/>
        <sz val="12"/>
        <rFont val="VNI-Times"/>
        <family val="0"/>
      </rPr>
      <t>x</t>
    </r>
    <r>
      <rPr>
        <sz val="12"/>
        <rFont val="VNI-Times"/>
        <family val="0"/>
      </rPr>
      <t xml:space="preserve">) : </t>
    </r>
  </si>
  <si>
    <r>
      <t xml:space="preserve">     - Khoái löôïng rieâng cuûa Xi maêng (</t>
    </r>
    <r>
      <rPr>
        <sz val="12"/>
        <rFont val="Symbol"/>
        <family val="1"/>
      </rPr>
      <t>r</t>
    </r>
    <r>
      <rPr>
        <vertAlign val="subscript"/>
        <sz val="12"/>
        <rFont val="VNI-Times"/>
        <family val="0"/>
      </rPr>
      <t>x</t>
    </r>
    <r>
      <rPr>
        <sz val="12"/>
        <rFont val="VNI-Times"/>
        <family val="0"/>
      </rPr>
      <t>) :</t>
    </r>
  </si>
  <si>
    <r>
      <t xml:space="preserve">     - Cöôøng ñoä beâ toâng (R</t>
    </r>
    <r>
      <rPr>
        <vertAlign val="subscript"/>
        <sz val="12"/>
        <rFont val="VNI-Times"/>
        <family val="0"/>
      </rPr>
      <t>n</t>
    </r>
    <r>
      <rPr>
        <sz val="12"/>
        <rFont val="VNI-Times"/>
        <family val="0"/>
      </rPr>
      <t>) :</t>
    </r>
  </si>
  <si>
    <t xml:space="preserve">     - Heä soá an toaøn :</t>
  </si>
  <si>
    <t xml:space="preserve">     - Ñoä suït beâ toâng (ÑS) :</t>
  </si>
  <si>
    <r>
      <t xml:space="preserve">     - Khoái löôïng rieâng (</t>
    </r>
    <r>
      <rPr>
        <sz val="12"/>
        <rFont val="Symbol"/>
        <family val="1"/>
      </rPr>
      <t xml:space="preserve">r </t>
    </r>
    <r>
      <rPr>
        <vertAlign val="subscript"/>
        <sz val="12"/>
        <rFont val="VNI-Times"/>
        <family val="0"/>
      </rPr>
      <t>ñ</t>
    </r>
    <r>
      <rPr>
        <sz val="12"/>
        <rFont val="VNI-Times"/>
        <family val="0"/>
      </rPr>
      <t>) :</t>
    </r>
  </si>
  <si>
    <r>
      <t xml:space="preserve">     - Khoái löôïng theå tích xoáp (</t>
    </r>
    <r>
      <rPr>
        <sz val="12"/>
        <rFont val="Symbol"/>
        <family val="1"/>
      </rPr>
      <t>r</t>
    </r>
    <r>
      <rPr>
        <sz val="12"/>
        <rFont val="VNI-Times"/>
        <family val="0"/>
      </rPr>
      <t xml:space="preserve"> </t>
    </r>
    <r>
      <rPr>
        <vertAlign val="subscript"/>
        <sz val="12"/>
        <rFont val="VNI-Times"/>
        <family val="0"/>
      </rPr>
      <t>vñ</t>
    </r>
    <r>
      <rPr>
        <sz val="12"/>
        <rFont val="VNI-Times"/>
        <family val="0"/>
      </rPr>
      <t>) :</t>
    </r>
  </si>
  <si>
    <t xml:space="preserve">     - Ñöôøng kính haït lôùn nhaát :</t>
  </si>
  <si>
    <r>
      <t xml:space="preserve">     - Khoái löôïng rieâng cuûa Caùt (</t>
    </r>
    <r>
      <rPr>
        <sz val="12"/>
        <rFont val="Symbol"/>
        <family val="1"/>
      </rPr>
      <t xml:space="preserve">r </t>
    </r>
    <r>
      <rPr>
        <vertAlign val="subscript"/>
        <sz val="12"/>
        <rFont val="VNI-Times"/>
        <family val="0"/>
      </rPr>
      <t>c</t>
    </r>
    <r>
      <rPr>
        <sz val="12"/>
        <rFont val="VNI-Times"/>
        <family val="0"/>
      </rPr>
      <t>) :</t>
    </r>
  </si>
  <si>
    <r>
      <t xml:space="preserve">     - Moâ ñun ñoä lôùn cuûa caùt (M</t>
    </r>
    <r>
      <rPr>
        <vertAlign val="subscript"/>
        <sz val="12"/>
        <rFont val="VNI-Times"/>
        <family val="0"/>
      </rPr>
      <t>ñl</t>
    </r>
    <r>
      <rPr>
        <sz val="12"/>
        <rFont val="VNI-Times"/>
        <family val="0"/>
      </rPr>
      <t>)  :</t>
    </r>
  </si>
  <si>
    <t xml:space="preserve">     - Haøm löôïng treân 5mm :</t>
  </si>
  <si>
    <t xml:space="preserve">  =&gt; - Löôïng Nöôùc hieäu chænh theo loaïi coát lieäu lôùn :</t>
  </si>
  <si>
    <t xml:space="preserve">  =&gt; - Löôïng Nöôùc hieäu chænh theo loaïi xi maêng :</t>
  </si>
  <si>
    <t xml:space="preserve">  =&gt; - Löôïng Nöôùc hieäu chænh theo moâ ñun cuûa caùt :</t>
  </si>
  <si>
    <t>=&gt; Heä soá Kd sau khi hieäu chænh theo loaïi coát lieäu lôùn :</t>
  </si>
  <si>
    <t>T</t>
  </si>
  <si>
    <t>TB</t>
  </si>
  <si>
    <t>K</t>
  </si>
  <si>
    <t xml:space="preserve">     - Khoâng söû duïng</t>
  </si>
  <si>
    <t>(PP nhanh)</t>
  </si>
  <si>
    <t>(PP vöõa nhanh)</t>
  </si>
  <si>
    <t>TCVN6016 -1995</t>
  </si>
  <si>
    <t xml:space="preserve"> + Phöông phaùp thöû xi maêng : </t>
  </si>
  <si>
    <t>=&gt; Heä soá Kd sau khi hieäu chænh theo moâñun ñoä lôùn cuûa caùt:</t>
  </si>
  <si>
    <t>Ñ.daêm:</t>
  </si>
  <si>
    <t>Soûi:</t>
  </si>
  <si>
    <t xml:space="preserve"> -Xi maêng hoaït tính cao, khoâng</t>
  </si>
  <si>
    <t xml:space="preserve">  troän phuï gia thuyû</t>
  </si>
  <si>
    <t xml:space="preserve"> -Ñaù saïch, ñaëc chaéc cöôøng ñoä</t>
  </si>
  <si>
    <t xml:space="preserve">  cao caáp phoái haït toát</t>
  </si>
  <si>
    <t xml:space="preserve"> -Caùt saïch, Mñl = 2.4 - 2.7</t>
  </si>
  <si>
    <t xml:space="preserve"> -Xi maêng hoaït tính trung bình,</t>
  </si>
  <si>
    <t xml:space="preserve">  Pooc laêng hoãn hôïp, </t>
  </si>
  <si>
    <t xml:space="preserve">  chöùa 10 - 15% phuï gia thuyû</t>
  </si>
  <si>
    <t xml:space="preserve"> -Ñaù chaát löôïng phuø hôïp vôùi</t>
  </si>
  <si>
    <t xml:space="preserve">  TCVN 1771 : 1987</t>
  </si>
  <si>
    <t xml:space="preserve"> -Caùt chaát löôïng phuø hôïp vôùi</t>
  </si>
  <si>
    <t xml:space="preserve"> TCVN1771:1986, Mñl=2.0-3.4</t>
  </si>
  <si>
    <t xml:space="preserve"> -Xi maêng hoaït tính thaáp,</t>
  </si>
  <si>
    <t xml:space="preserve">  Pooc laêng hoãn hôïp, chöùa treân</t>
  </si>
  <si>
    <t xml:space="preserve">  15% phuï gia thuyû</t>
  </si>
  <si>
    <t xml:space="preserve"> -Ñaù coù 1 chæ tieâu chöa phuø </t>
  </si>
  <si>
    <t xml:space="preserve">  voùi TCVN 1772 : 1987</t>
  </si>
  <si>
    <t xml:space="preserve"> -Caùt mòn, Mñl &lt; 2.0</t>
  </si>
  <si>
    <t>=&gt; Löôïng Nöôùc hieäu chænh theo löôïng xi maêng :</t>
  </si>
  <si>
    <r>
      <t xml:space="preserve"> - Neáu thöû baèng  PP TCVN 6016 - 1995 thì ñieàn vaøo oâ choïn sau soá "</t>
    </r>
    <r>
      <rPr>
        <b/>
        <sz val="14"/>
        <rFont val="VNI-Times"/>
        <family val="0"/>
      </rPr>
      <t>1</t>
    </r>
    <r>
      <rPr>
        <sz val="12"/>
        <rFont val="VNI-Times"/>
        <family val="0"/>
      </rPr>
      <t>"</t>
    </r>
  </si>
  <si>
    <r>
      <t xml:space="preserve"> - Neáu thöû baèng  PP TCVN 4032 - 1985 thì ñieàn vaøo oâ choïn sau soá "</t>
    </r>
    <r>
      <rPr>
        <b/>
        <sz val="14"/>
        <rFont val="VNI-Times"/>
        <family val="0"/>
      </rPr>
      <t>2</t>
    </r>
    <r>
      <rPr>
        <sz val="12"/>
        <rFont val="VNI-Times"/>
        <family val="0"/>
      </rPr>
      <t>"</t>
    </r>
  </si>
  <si>
    <r>
      <t xml:space="preserve"> - Neáu thöû baèng  PP nhanh thì ñieàn vaøo oâ choïn sau soá "</t>
    </r>
    <r>
      <rPr>
        <b/>
        <sz val="14"/>
        <rFont val="VNI-Times"/>
        <family val="0"/>
      </rPr>
      <t>3</t>
    </r>
    <r>
      <rPr>
        <sz val="12"/>
        <rFont val="VNI-Times"/>
        <family val="0"/>
      </rPr>
      <t>"</t>
    </r>
  </si>
  <si>
    <r>
      <t xml:space="preserve"> + Neáu chaát löôïng vaät lieäu Toát thì ñieàn vaøo oâ choïn sau chöõ "</t>
    </r>
    <r>
      <rPr>
        <b/>
        <sz val="14"/>
        <rFont val="VNI-Times"/>
        <family val="0"/>
      </rPr>
      <t>T</t>
    </r>
    <r>
      <rPr>
        <sz val="12"/>
        <rFont val="VNI-Times"/>
        <family val="0"/>
      </rPr>
      <t>" hoaëc "</t>
    </r>
    <r>
      <rPr>
        <b/>
        <sz val="14"/>
        <rFont val="VNI-Times"/>
        <family val="0"/>
      </rPr>
      <t>t</t>
    </r>
    <r>
      <rPr>
        <sz val="12"/>
        <rFont val="VNI-Times"/>
        <family val="0"/>
      </rPr>
      <t>";</t>
    </r>
  </si>
  <si>
    <r>
      <t xml:space="preserve"> + Neáu chaát löôïng vaät lieäu Keùm thì ñieàn vaøo oâ choïn sau chöõ "</t>
    </r>
    <r>
      <rPr>
        <b/>
        <sz val="14"/>
        <rFont val="VNI-Times"/>
        <family val="0"/>
      </rPr>
      <t>K</t>
    </r>
    <r>
      <rPr>
        <sz val="12"/>
        <rFont val="VNI-Times"/>
        <family val="0"/>
      </rPr>
      <t>" hoaëc "</t>
    </r>
    <r>
      <rPr>
        <b/>
        <sz val="14"/>
        <rFont val="VNI-Times"/>
        <family val="0"/>
      </rPr>
      <t>k</t>
    </r>
    <r>
      <rPr>
        <sz val="12"/>
        <rFont val="VNI-Times"/>
        <family val="0"/>
      </rPr>
      <t>"</t>
    </r>
  </si>
  <si>
    <r>
      <t xml:space="preserve"> + Loaïi xi maêng (Neáu XM Pooclaêng hoãn hôïp, XM xæ thì ñieàn vaøo oâ choïn sau soá "</t>
    </r>
    <r>
      <rPr>
        <b/>
        <sz val="14"/>
        <rFont val="VNI-Times"/>
        <family val="0"/>
      </rPr>
      <t>0</t>
    </r>
    <r>
      <rPr>
        <sz val="12"/>
        <rFont val="VNI-Times"/>
        <family val="0"/>
      </rPr>
      <t>";</t>
    </r>
  </si>
  <si>
    <r>
      <t xml:space="preserve">    neáu XM Pooclaêng Puzôlan thì ñieàn vaøo oâ choïn sau soá " </t>
    </r>
    <r>
      <rPr>
        <b/>
        <sz val="14"/>
        <rFont val="VNI-Times"/>
        <family val="0"/>
      </rPr>
      <t>1</t>
    </r>
    <r>
      <rPr>
        <sz val="12"/>
        <rFont val="VNI-Times"/>
        <family val="0"/>
      </rPr>
      <t>"</t>
    </r>
  </si>
  <si>
    <r>
      <t xml:space="preserve">    neáu XM Pooclaêng thoâng thöôøng thì ñieàn vaøo oâ choïn sau soá " </t>
    </r>
    <r>
      <rPr>
        <b/>
        <sz val="14"/>
        <rFont val="VNI-Times"/>
        <family val="0"/>
      </rPr>
      <t>2</t>
    </r>
    <r>
      <rPr>
        <sz val="12"/>
        <rFont val="VNI-Times"/>
        <family val="0"/>
      </rPr>
      <t xml:space="preserve"> ") =&gt;</t>
    </r>
  </si>
  <si>
    <r>
      <t>1.2.2. Ñaù - ñieàn vaøo oâ sau laø soá "</t>
    </r>
    <r>
      <rPr>
        <b/>
        <i/>
        <sz val="14"/>
        <rFont val="VNI-Times"/>
        <family val="0"/>
      </rPr>
      <t>1</t>
    </r>
    <r>
      <rPr>
        <b/>
        <i/>
        <sz val="12"/>
        <rFont val="VNI-Times"/>
        <family val="0"/>
      </rPr>
      <t xml:space="preserve">" (hoaëc soûi - ñieàn vaøo oâ sau laø soá "0") : =&gt; </t>
    </r>
  </si>
  <si>
    <t>III. CAÙC THAØNH PHAÀN ÑÒNH HÖÔÙNG :</t>
  </si>
  <si>
    <t>Thaønh phaàn 1 - Cô sôû</t>
  </si>
  <si>
    <t>Thaønh phaàn 2 - Giaûm 10% XM</t>
  </si>
  <si>
    <t>Thaønh phaàn 3 - Taêng 10% XM</t>
  </si>
  <si>
    <t xml:space="preserve">     Thaønh phaàn beâ toâng </t>
  </si>
  <si>
    <t>X (kg)</t>
  </si>
  <si>
    <t>C (kg)</t>
  </si>
  <si>
    <t>Ñ (kg)</t>
  </si>
  <si>
    <t>N (kg)</t>
  </si>
  <si>
    <t>PG (lít)</t>
  </si>
  <si>
    <t xml:space="preserve">     Thaønh phaàn vaät lieäu cho beâ toâng (1m3)</t>
  </si>
  <si>
    <t>1.2.2. Ñaù (hoaëc soûi)</t>
  </si>
  <si>
    <r>
      <t xml:space="preserve">     - Khoái löôïng rieâng cuûa Xi maêng (r</t>
    </r>
    <r>
      <rPr>
        <vertAlign val="subscript"/>
        <sz val="12"/>
        <rFont val="VNI-Times"/>
        <family val="0"/>
      </rPr>
      <t>x</t>
    </r>
    <r>
      <rPr>
        <sz val="12"/>
        <rFont val="VNI-Times"/>
        <family val="0"/>
      </rPr>
      <t>) :</t>
    </r>
  </si>
  <si>
    <r>
      <t xml:space="preserve">     - Khoái löôïng rieâng (r </t>
    </r>
    <r>
      <rPr>
        <vertAlign val="subscript"/>
        <sz val="12"/>
        <rFont val="VNI-Times"/>
        <family val="0"/>
      </rPr>
      <t>ñ</t>
    </r>
    <r>
      <rPr>
        <sz val="12"/>
        <rFont val="VNI-Times"/>
        <family val="0"/>
      </rPr>
      <t>) :</t>
    </r>
  </si>
  <si>
    <r>
      <t xml:space="preserve">     - Khoái löôïng theå tích xoáp (r </t>
    </r>
    <r>
      <rPr>
        <vertAlign val="subscript"/>
        <sz val="12"/>
        <rFont val="VNI-Times"/>
        <family val="0"/>
      </rPr>
      <t>vñ</t>
    </r>
    <r>
      <rPr>
        <sz val="12"/>
        <rFont val="VNI-Times"/>
        <family val="0"/>
      </rPr>
      <t>) :</t>
    </r>
  </si>
  <si>
    <r>
      <t xml:space="preserve">     - Khoái löôïng rieâng cuûa Caùt (r </t>
    </r>
    <r>
      <rPr>
        <vertAlign val="subscript"/>
        <sz val="12"/>
        <rFont val="VNI-Times"/>
        <family val="0"/>
      </rPr>
      <t>c</t>
    </r>
    <r>
      <rPr>
        <sz val="12"/>
        <rFont val="VNI-Times"/>
        <family val="0"/>
      </rPr>
      <t>) :</t>
    </r>
  </si>
  <si>
    <t>BIEÅU KEÁT QUÛA THIEÁT KEÁ</t>
  </si>
  <si>
    <t>II. KEÁT QUÛA TÍNH TOAÙN CAÙC THAØNH PHAÀN ÑÒNH HÖÔÙNG :</t>
  </si>
  <si>
    <r>
      <t xml:space="preserve"> + Neáu chaát löôïng vaät lieäu Trung bình thì ñieàn vaøo oâ choïn sau chöõ "</t>
    </r>
    <r>
      <rPr>
        <b/>
        <sz val="12"/>
        <rFont val="VNI-Times"/>
        <family val="0"/>
      </rPr>
      <t>TB</t>
    </r>
    <r>
      <rPr>
        <sz val="12"/>
        <rFont val="VNI-Times"/>
        <family val="0"/>
      </rPr>
      <t>" hoaëc "</t>
    </r>
    <r>
      <rPr>
        <b/>
        <sz val="12"/>
        <rFont val="VNI-Times"/>
        <family val="0"/>
      </rPr>
      <t>tb</t>
    </r>
    <r>
      <rPr>
        <sz val="12"/>
        <rFont val="VNI-Times"/>
        <family val="0"/>
      </rPr>
      <t>";</t>
    </r>
  </si>
  <si>
    <r>
      <t xml:space="preserve"> + Loaïi xi maêng (Neáu XM Pooclaêng hoãn hôïp, XM xæ thì ñieàn vaøo oâ choïn sau soá "</t>
    </r>
    <r>
      <rPr>
        <b/>
        <sz val="12"/>
        <rFont val="VNI-Times"/>
        <family val="0"/>
      </rPr>
      <t>0</t>
    </r>
    <r>
      <rPr>
        <sz val="12"/>
        <rFont val="VNI-Times"/>
        <family val="0"/>
      </rPr>
      <t>";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</si>
</sst>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_);[Red]\(0.00\)"/>
    <numFmt numFmtId="167" formatCode="0_);[Red]\(0\)"/>
    <numFmt numFmtId="168" formatCode="0_);\(0\)"/>
    <numFmt numFmtId="169" formatCode="0.00_);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2"/>
      <name val="VNI-Times"/>
      <family val="0"/>
    </font>
    <font>
      <sz val="12"/>
      <color indexed="10"/>
      <name val="VNI-Times"/>
      <family val="0"/>
    </font>
    <font>
      <sz val="12"/>
      <name val="Symbol"/>
      <family val="1"/>
    </font>
    <font>
      <vertAlign val="subscript"/>
      <sz val="12"/>
      <name val="VNI-Times"/>
      <family val="0"/>
    </font>
    <font>
      <sz val="12"/>
      <color indexed="14"/>
      <name val="VNI-Times"/>
      <family val="0"/>
    </font>
    <font>
      <b/>
      <sz val="12"/>
      <name val="VNI-Times"/>
      <family val="0"/>
    </font>
    <font>
      <vertAlign val="superscript"/>
      <sz val="12"/>
      <name val="VNI-Times"/>
      <family val="0"/>
    </font>
    <font>
      <b/>
      <i/>
      <sz val="12"/>
      <name val="VNI-Times"/>
      <family val="0"/>
    </font>
    <font>
      <b/>
      <i/>
      <vertAlign val="subscript"/>
      <sz val="12"/>
      <name val="VNI-Times"/>
      <family val="0"/>
    </font>
    <font>
      <b/>
      <i/>
      <vertAlign val="superscript"/>
      <sz val="12"/>
      <name val="VNI-Times"/>
      <family val="0"/>
    </font>
    <font>
      <b/>
      <sz val="14"/>
      <name val="VNI-Times"/>
      <family val="0"/>
    </font>
    <font>
      <b/>
      <vertAlign val="subscript"/>
      <sz val="12"/>
      <name val="VNI-Times"/>
      <family val="0"/>
    </font>
    <font>
      <b/>
      <sz val="12"/>
      <color indexed="10"/>
      <name val="VNI-Times"/>
      <family val="0"/>
    </font>
    <font>
      <i/>
      <sz val="12"/>
      <name val="VNI-Times"/>
      <family val="0"/>
    </font>
    <font>
      <b/>
      <i/>
      <sz val="14"/>
      <name val="VNI-Times"/>
      <family val="0"/>
    </font>
    <font>
      <sz val="12"/>
      <color indexed="12"/>
      <name val="VNI-Times"/>
      <family val="0"/>
    </font>
    <font>
      <b/>
      <sz val="12"/>
      <color indexed="12"/>
      <name val="VNI-Times"/>
      <family val="0"/>
    </font>
    <font>
      <b/>
      <u val="single"/>
      <sz val="16"/>
      <color indexed="12"/>
      <name val="VNI-Times"/>
      <family val="0"/>
    </font>
    <font>
      <sz val="14"/>
      <color indexed="12"/>
      <name val="VNI-Times"/>
      <family val="0"/>
    </font>
    <font>
      <b/>
      <sz val="14"/>
      <color indexed="12"/>
      <name val="VNI-Times"/>
      <family val="0"/>
    </font>
    <font>
      <u val="single"/>
      <sz val="12"/>
      <color indexed="10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0" xfId="0" applyNumberFormat="1" applyFont="1" applyAlignment="1" quotePrefix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 quotePrefix="1">
      <alignment horizontal="center"/>
    </xf>
    <xf numFmtId="1" fontId="3" fillId="0" borderId="8" xfId="0" applyNumberFormat="1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1" fontId="3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3" fillId="0" borderId="8" xfId="0" applyFont="1" applyBorder="1" applyAlignment="1">
      <alignment/>
    </xf>
    <xf numFmtId="1" fontId="3" fillId="0" borderId="6" xfId="0" applyNumberFormat="1" applyFont="1" applyBorder="1" applyAlignment="1" quotePrefix="1">
      <alignment horizontal="center"/>
    </xf>
    <xf numFmtId="1" fontId="3" fillId="0" borderId="5" xfId="0" applyNumberFormat="1" applyFont="1" applyBorder="1" applyAlignment="1" quotePrefix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 quotePrefix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 quotePrefix="1">
      <alignment/>
    </xf>
    <xf numFmtId="0" fontId="8" fillId="0" borderId="6" xfId="0" applyFont="1" applyBorder="1" applyAlignment="1">
      <alignment/>
    </xf>
    <xf numFmtId="1" fontId="8" fillId="0" borderId="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2" fontId="3" fillId="0" borderId="9" xfId="0" applyNumberFormat="1" applyFont="1" applyBorder="1" applyAlignment="1" quotePrefix="1">
      <alignment horizontal="center"/>
    </xf>
    <xf numFmtId="2" fontId="8" fillId="0" borderId="9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/>
    </xf>
    <xf numFmtId="0" fontId="3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2" borderId="0" xfId="0" applyFont="1" applyFill="1" applyAlignment="1">
      <alignment horizontal="center"/>
    </xf>
    <xf numFmtId="2" fontId="18" fillId="0" borderId="0" xfId="0" applyNumberFormat="1" applyFont="1" applyAlignment="1">
      <alignment/>
    </xf>
    <xf numFmtId="0" fontId="18" fillId="0" borderId="9" xfId="0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165" fontId="3" fillId="0" borderId="0" xfId="0" applyNumberFormat="1" applyFont="1" applyAlignment="1" quotePrefix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3" fillId="0" borderId="0" xfId="2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0" fontId="8" fillId="0" borderId="33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/>
    </xf>
    <xf numFmtId="2" fontId="8" fillId="0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P16" sqref="P16"/>
    </sheetView>
  </sheetViews>
  <sheetFormatPr defaultColWidth="9.00390625" defaultRowHeight="12.75"/>
  <cols>
    <col min="1" max="1" width="9.125" style="1" customWidth="1"/>
    <col min="2" max="2" width="8.875" style="1" customWidth="1"/>
    <col min="3" max="3" width="7.125" style="1" customWidth="1"/>
    <col min="4" max="4" width="7.00390625" style="1" customWidth="1"/>
    <col min="5" max="5" width="8.50390625" style="1" customWidth="1"/>
    <col min="6" max="7" width="6.625" style="1" customWidth="1"/>
    <col min="8" max="8" width="8.375" style="1" customWidth="1"/>
    <col min="9" max="9" width="6.875" style="1" customWidth="1"/>
    <col min="10" max="10" width="7.125" style="1" customWidth="1"/>
    <col min="11" max="11" width="8.375" style="1" customWidth="1"/>
    <col min="12" max="12" width="6.875" style="1" customWidth="1"/>
    <col min="13" max="13" width="8.125" style="1" customWidth="1"/>
    <col min="14" max="18" width="9.125" style="1" customWidth="1"/>
    <col min="19" max="19" width="10.00390625" style="1" bestFit="1" customWidth="1"/>
    <col min="20" max="16384" width="9.125" style="1" customWidth="1"/>
  </cols>
  <sheetData>
    <row r="1" spans="1:13" s="137" customFormat="1" ht="22.5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137" customFormat="1" ht="19.5">
      <c r="A2" s="138" t="s">
        <v>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="13" customFormat="1" ht="17.25">
      <c r="A3" s="139"/>
    </row>
    <row r="4" ht="17.25">
      <c r="A4" s="40" t="s">
        <v>11</v>
      </c>
    </row>
    <row r="5" ht="15.75" customHeight="1">
      <c r="B5" s="40" t="s">
        <v>49</v>
      </c>
    </row>
    <row r="6" spans="3:8" ht="18">
      <c r="C6" s="1" t="s">
        <v>77</v>
      </c>
      <c r="G6" s="135">
        <v>30</v>
      </c>
      <c r="H6" s="1" t="s">
        <v>9</v>
      </c>
    </row>
    <row r="7" spans="3:7" ht="17.25">
      <c r="C7" s="1" t="s">
        <v>78</v>
      </c>
      <c r="G7" s="135">
        <v>1.15</v>
      </c>
    </row>
    <row r="8" spans="3:8" ht="17.25">
      <c r="C8" s="1" t="s">
        <v>79</v>
      </c>
      <c r="G8" s="135">
        <v>5</v>
      </c>
      <c r="H8" s="1" t="s">
        <v>17</v>
      </c>
    </row>
    <row r="10" ht="17.25">
      <c r="B10" s="40" t="s">
        <v>12</v>
      </c>
    </row>
    <row r="11" ht="17.25">
      <c r="B11" s="44" t="s">
        <v>13</v>
      </c>
    </row>
    <row r="12" spans="2:3" ht="17.25">
      <c r="B12" s="44"/>
      <c r="C12" s="1" t="s">
        <v>148</v>
      </c>
    </row>
    <row r="13" spans="2:3" ht="19.5">
      <c r="B13" s="44"/>
      <c r="C13" s="1" t="s">
        <v>126</v>
      </c>
    </row>
    <row r="14" spans="2:13" ht="19.5">
      <c r="B14" s="44"/>
      <c r="C14" s="1" t="s">
        <v>127</v>
      </c>
      <c r="L14" s="103" t="s">
        <v>72</v>
      </c>
      <c r="M14" s="118">
        <v>2</v>
      </c>
    </row>
    <row r="15" spans="2:3" ht="17.25">
      <c r="B15" s="44"/>
      <c r="C15" s="1" t="s">
        <v>74</v>
      </c>
    </row>
    <row r="16" spans="3:10" ht="18">
      <c r="C16" s="1" t="s">
        <v>75</v>
      </c>
      <c r="I16" s="117">
        <v>47</v>
      </c>
      <c r="J16" s="1" t="s">
        <v>9</v>
      </c>
    </row>
    <row r="17" spans="3:10" ht="18.75">
      <c r="C17" s="1" t="s">
        <v>76</v>
      </c>
      <c r="I17" s="117">
        <v>3.1</v>
      </c>
      <c r="J17" s="1" t="s">
        <v>39</v>
      </c>
    </row>
    <row r="18" spans="2:9" ht="17.25">
      <c r="B18" s="44" t="s">
        <v>140</v>
      </c>
      <c r="I18" s="13"/>
    </row>
    <row r="19" spans="2:13" ht="18.75" customHeight="1">
      <c r="B19" s="44" t="s">
        <v>128</v>
      </c>
      <c r="I19" s="13"/>
      <c r="L19" s="103" t="s">
        <v>72</v>
      </c>
      <c r="M19" s="118">
        <v>1</v>
      </c>
    </row>
    <row r="20" spans="3:10" ht="18.75">
      <c r="C20" s="1" t="s">
        <v>80</v>
      </c>
      <c r="I20" s="117">
        <v>2.61</v>
      </c>
      <c r="J20" s="1" t="s">
        <v>39</v>
      </c>
    </row>
    <row r="21" spans="3:10" ht="18.75">
      <c r="C21" s="1" t="s">
        <v>81</v>
      </c>
      <c r="I21" s="117">
        <v>1430</v>
      </c>
      <c r="J21" s="1" t="s">
        <v>40</v>
      </c>
    </row>
    <row r="22" spans="3:10" ht="17.25">
      <c r="C22" s="1" t="s">
        <v>82</v>
      </c>
      <c r="I22" s="117">
        <v>20</v>
      </c>
      <c r="J22" s="1" t="s">
        <v>10</v>
      </c>
    </row>
    <row r="23" ht="17.25">
      <c r="B23" s="44" t="s">
        <v>14</v>
      </c>
    </row>
    <row r="24" spans="3:10" ht="18.75">
      <c r="C24" s="1" t="s">
        <v>83</v>
      </c>
      <c r="I24" s="119">
        <v>2.65</v>
      </c>
      <c r="J24" s="1" t="s">
        <v>39</v>
      </c>
    </row>
    <row r="25" spans="3:9" ht="18">
      <c r="C25" s="1" t="s">
        <v>84</v>
      </c>
      <c r="I25" s="119">
        <v>2.5</v>
      </c>
    </row>
    <row r="26" spans="3:10" ht="17.25">
      <c r="C26" s="1" t="s">
        <v>85</v>
      </c>
      <c r="I26" s="119">
        <v>0</v>
      </c>
      <c r="J26" s="1" t="s">
        <v>73</v>
      </c>
    </row>
    <row r="27" ht="17.25">
      <c r="B27" s="44" t="s">
        <v>15</v>
      </c>
    </row>
    <row r="28" spans="2:7" ht="17.25">
      <c r="B28" s="44"/>
      <c r="C28" s="1" t="s">
        <v>93</v>
      </c>
      <c r="G28" s="112"/>
    </row>
    <row r="29" ht="18.75" thickBot="1">
      <c r="B29" s="44" t="s">
        <v>41</v>
      </c>
    </row>
    <row r="30" spans="1:13" ht="17.25">
      <c r="A30" s="77" t="s">
        <v>52</v>
      </c>
      <c r="B30" s="69"/>
      <c r="C30" s="64"/>
      <c r="D30" s="64"/>
      <c r="E30" s="59"/>
      <c r="F30" s="58"/>
      <c r="G30" s="64"/>
      <c r="H30" s="59"/>
      <c r="I30" s="152" t="s">
        <v>63</v>
      </c>
      <c r="J30" s="153"/>
      <c r="K30" s="154"/>
      <c r="L30" s="58"/>
      <c r="M30" s="59"/>
    </row>
    <row r="31" spans="1:13" ht="17.25">
      <c r="A31" s="78" t="s">
        <v>53</v>
      </c>
      <c r="B31" s="70" t="s">
        <v>58</v>
      </c>
      <c r="C31" s="14"/>
      <c r="D31" s="14"/>
      <c r="E31" s="61"/>
      <c r="F31" s="155" t="s">
        <v>96</v>
      </c>
      <c r="G31" s="157"/>
      <c r="H31" s="156"/>
      <c r="I31" s="155" t="s">
        <v>95</v>
      </c>
      <c r="J31" s="157"/>
      <c r="K31" s="156"/>
      <c r="L31" s="155" t="s">
        <v>94</v>
      </c>
      <c r="M31" s="156"/>
    </row>
    <row r="32" spans="1:13" ht="18" thickBot="1">
      <c r="A32" s="78" t="s">
        <v>57</v>
      </c>
      <c r="B32" s="60"/>
      <c r="C32" s="14"/>
      <c r="D32" s="14"/>
      <c r="E32" s="61"/>
      <c r="F32" s="158">
        <v>-1</v>
      </c>
      <c r="G32" s="159"/>
      <c r="H32" s="160"/>
      <c r="I32" s="158">
        <v>-2</v>
      </c>
      <c r="J32" s="159"/>
      <c r="K32" s="160"/>
      <c r="L32" s="158">
        <v>-3</v>
      </c>
      <c r="M32" s="160"/>
    </row>
    <row r="33" spans="1:13" ht="18" thickBot="1">
      <c r="A33" s="79" t="s">
        <v>56</v>
      </c>
      <c r="B33" s="62"/>
      <c r="C33" s="65"/>
      <c r="D33" s="65"/>
      <c r="E33" s="63"/>
      <c r="F33" s="163" t="s">
        <v>54</v>
      </c>
      <c r="G33" s="164"/>
      <c r="H33" s="92" t="s">
        <v>55</v>
      </c>
      <c r="I33" s="163" t="s">
        <v>54</v>
      </c>
      <c r="J33" s="164"/>
      <c r="K33" s="92" t="s">
        <v>55</v>
      </c>
      <c r="L33" s="93" t="s">
        <v>54</v>
      </c>
      <c r="M33" s="92" t="s">
        <v>55</v>
      </c>
    </row>
    <row r="34" spans="1:13" ht="17.25">
      <c r="A34" s="55"/>
      <c r="B34" s="58" t="s">
        <v>101</v>
      </c>
      <c r="C34" s="64"/>
      <c r="D34" s="64"/>
      <c r="E34" s="59"/>
      <c r="F34" s="53"/>
      <c r="G34" s="71"/>
      <c r="H34" s="59"/>
      <c r="I34" s="58"/>
      <c r="J34" s="72"/>
      <c r="K34" s="59"/>
      <c r="L34" s="74"/>
      <c r="M34" s="59"/>
    </row>
    <row r="35" spans="1:13" ht="17.25">
      <c r="A35" s="56"/>
      <c r="B35" s="60" t="s">
        <v>102</v>
      </c>
      <c r="C35" s="14"/>
      <c r="D35" s="14"/>
      <c r="E35" s="61"/>
      <c r="F35" s="54"/>
      <c r="G35" s="52"/>
      <c r="H35" s="61"/>
      <c r="I35" s="60"/>
      <c r="J35" s="51"/>
      <c r="K35" s="61"/>
      <c r="L35" s="75"/>
      <c r="M35" s="61"/>
    </row>
    <row r="36" spans="1:13" ht="17.25">
      <c r="A36" s="66" t="s">
        <v>59</v>
      </c>
      <c r="B36" s="60" t="s">
        <v>103</v>
      </c>
      <c r="C36" s="14"/>
      <c r="D36" s="14"/>
      <c r="E36" s="61"/>
      <c r="F36" s="161">
        <v>0.54</v>
      </c>
      <c r="G36" s="162"/>
      <c r="H36" s="84">
        <v>0.34</v>
      </c>
      <c r="I36" s="161">
        <v>0.6</v>
      </c>
      <c r="J36" s="162"/>
      <c r="K36" s="84">
        <v>0.38</v>
      </c>
      <c r="L36" s="85">
        <v>0.47</v>
      </c>
      <c r="M36" s="84">
        <v>0.3</v>
      </c>
    </row>
    <row r="37" spans="1:13" ht="17.25">
      <c r="A37" s="66"/>
      <c r="B37" s="60" t="s">
        <v>104</v>
      </c>
      <c r="C37" s="14"/>
      <c r="D37" s="14"/>
      <c r="E37" s="61"/>
      <c r="F37" s="80"/>
      <c r="G37" s="81"/>
      <c r="H37" s="84"/>
      <c r="I37" s="80"/>
      <c r="J37" s="81"/>
      <c r="K37" s="84"/>
      <c r="L37" s="85"/>
      <c r="M37" s="84"/>
    </row>
    <row r="38" spans="1:13" ht="18" thickBot="1">
      <c r="A38" s="67"/>
      <c r="B38" s="62" t="s">
        <v>105</v>
      </c>
      <c r="C38" s="65"/>
      <c r="D38" s="65"/>
      <c r="E38" s="63"/>
      <c r="F38" s="82"/>
      <c r="G38" s="83"/>
      <c r="H38" s="86"/>
      <c r="I38" s="82"/>
      <c r="J38" s="83"/>
      <c r="K38" s="86"/>
      <c r="L38" s="87"/>
      <c r="M38" s="86"/>
    </row>
    <row r="39" spans="1:13" ht="17.25">
      <c r="A39" s="68"/>
      <c r="B39" s="58" t="s">
        <v>106</v>
      </c>
      <c r="C39" s="64"/>
      <c r="D39" s="64"/>
      <c r="E39" s="59"/>
      <c r="F39" s="88"/>
      <c r="G39" s="89"/>
      <c r="H39" s="90"/>
      <c r="I39" s="88"/>
      <c r="J39" s="89"/>
      <c r="K39" s="90"/>
      <c r="L39" s="91"/>
      <c r="M39" s="90"/>
    </row>
    <row r="40" spans="1:13" ht="17.25">
      <c r="A40" s="66"/>
      <c r="B40" s="60" t="s">
        <v>107</v>
      </c>
      <c r="C40" s="14"/>
      <c r="D40" s="14"/>
      <c r="E40" s="61"/>
      <c r="F40" s="80"/>
      <c r="G40" s="81"/>
      <c r="H40" s="84"/>
      <c r="I40" s="80"/>
      <c r="J40" s="81"/>
      <c r="K40" s="84"/>
      <c r="L40" s="85"/>
      <c r="M40" s="84"/>
    </row>
    <row r="41" spans="1:13" ht="17.25">
      <c r="A41" s="66" t="s">
        <v>60</v>
      </c>
      <c r="B41" s="60" t="s">
        <v>108</v>
      </c>
      <c r="C41" s="14"/>
      <c r="D41" s="14"/>
      <c r="E41" s="61"/>
      <c r="F41" s="161">
        <v>0.5</v>
      </c>
      <c r="G41" s="162"/>
      <c r="H41" s="84">
        <v>0.32</v>
      </c>
      <c r="I41" s="161">
        <v>0.55</v>
      </c>
      <c r="J41" s="162"/>
      <c r="K41" s="84">
        <v>0.35</v>
      </c>
      <c r="L41" s="85">
        <v>0.43</v>
      </c>
      <c r="M41" s="84">
        <v>0.27</v>
      </c>
    </row>
    <row r="42" spans="1:13" ht="17.25">
      <c r="A42" s="66" t="s">
        <v>61</v>
      </c>
      <c r="B42" s="60" t="s">
        <v>109</v>
      </c>
      <c r="C42" s="14"/>
      <c r="D42" s="14"/>
      <c r="E42" s="61"/>
      <c r="F42" s="80"/>
      <c r="G42" s="81"/>
      <c r="H42" s="84"/>
      <c r="I42" s="80"/>
      <c r="J42" s="81"/>
      <c r="K42" s="84"/>
      <c r="L42" s="85"/>
      <c r="M42" s="84"/>
    </row>
    <row r="43" spans="1:13" ht="17.25">
      <c r="A43" s="66"/>
      <c r="B43" s="60" t="s">
        <v>110</v>
      </c>
      <c r="C43" s="14"/>
      <c r="D43" s="14"/>
      <c r="E43" s="61"/>
      <c r="F43" s="80"/>
      <c r="G43" s="81"/>
      <c r="H43" s="84"/>
      <c r="I43" s="80"/>
      <c r="J43" s="81"/>
      <c r="K43" s="84"/>
      <c r="L43" s="85"/>
      <c r="M43" s="84"/>
    </row>
    <row r="44" spans="1:13" ht="17.25">
      <c r="A44" s="66"/>
      <c r="B44" s="60" t="s">
        <v>111</v>
      </c>
      <c r="C44" s="14"/>
      <c r="D44" s="14"/>
      <c r="E44" s="61"/>
      <c r="F44" s="80"/>
      <c r="G44" s="81"/>
      <c r="H44" s="84"/>
      <c r="I44" s="80"/>
      <c r="J44" s="81"/>
      <c r="K44" s="84"/>
      <c r="L44" s="85"/>
      <c r="M44" s="84"/>
    </row>
    <row r="45" spans="1:13" ht="18" thickBot="1">
      <c r="A45" s="67"/>
      <c r="B45" s="62" t="s">
        <v>112</v>
      </c>
      <c r="C45" s="65"/>
      <c r="D45" s="65"/>
      <c r="E45" s="63"/>
      <c r="F45" s="82"/>
      <c r="G45" s="83"/>
      <c r="H45" s="86"/>
      <c r="I45" s="82"/>
      <c r="J45" s="83"/>
      <c r="K45" s="86"/>
      <c r="L45" s="87"/>
      <c r="M45" s="86"/>
    </row>
    <row r="46" spans="1:13" ht="17.25">
      <c r="A46" s="68"/>
      <c r="B46" s="58" t="s">
        <v>113</v>
      </c>
      <c r="C46" s="64"/>
      <c r="D46" s="64"/>
      <c r="E46" s="59"/>
      <c r="F46" s="88"/>
      <c r="G46" s="89"/>
      <c r="H46" s="90"/>
      <c r="I46" s="88"/>
      <c r="J46" s="89"/>
      <c r="K46" s="90"/>
      <c r="L46" s="91"/>
      <c r="M46" s="90"/>
    </row>
    <row r="47" spans="1:13" ht="17.25">
      <c r="A47" s="66"/>
      <c r="B47" s="60" t="s">
        <v>114</v>
      </c>
      <c r="C47" s="14"/>
      <c r="D47" s="14"/>
      <c r="E47" s="61"/>
      <c r="F47" s="80"/>
      <c r="G47" s="81"/>
      <c r="H47" s="84"/>
      <c r="I47" s="80"/>
      <c r="J47" s="81"/>
      <c r="K47" s="84"/>
      <c r="L47" s="85"/>
      <c r="M47" s="84"/>
    </row>
    <row r="48" spans="1:13" ht="17.25">
      <c r="A48" s="66" t="s">
        <v>62</v>
      </c>
      <c r="B48" s="60" t="s">
        <v>115</v>
      </c>
      <c r="C48" s="14"/>
      <c r="D48" s="14"/>
      <c r="E48" s="61"/>
      <c r="F48" s="161">
        <v>0.45</v>
      </c>
      <c r="G48" s="162"/>
      <c r="H48" s="84">
        <v>0.29</v>
      </c>
      <c r="I48" s="161">
        <v>0.5</v>
      </c>
      <c r="J48" s="162"/>
      <c r="K48" s="84">
        <v>0.32</v>
      </c>
      <c r="L48" s="85">
        <v>0.4</v>
      </c>
      <c r="M48" s="84">
        <v>0.25</v>
      </c>
    </row>
    <row r="49" spans="1:13" ht="17.25">
      <c r="A49" s="56"/>
      <c r="B49" s="60" t="s">
        <v>116</v>
      </c>
      <c r="C49" s="14"/>
      <c r="D49" s="14"/>
      <c r="E49" s="61"/>
      <c r="F49" s="60"/>
      <c r="G49" s="51"/>
      <c r="H49" s="61"/>
      <c r="I49" s="60"/>
      <c r="J49" s="51"/>
      <c r="K49" s="61"/>
      <c r="L49" s="75"/>
      <c r="M49" s="61"/>
    </row>
    <row r="50" spans="1:13" ht="17.25">
      <c r="A50" s="56"/>
      <c r="B50" s="60" t="s">
        <v>117</v>
      </c>
      <c r="C50" s="14"/>
      <c r="D50" s="14"/>
      <c r="E50" s="61"/>
      <c r="F50" s="60"/>
      <c r="G50" s="51"/>
      <c r="H50" s="61"/>
      <c r="I50" s="60"/>
      <c r="J50" s="51"/>
      <c r="K50" s="61"/>
      <c r="L50" s="75"/>
      <c r="M50" s="61"/>
    </row>
    <row r="51" spans="1:13" ht="18" thickBot="1">
      <c r="A51" s="57"/>
      <c r="B51" s="62" t="s">
        <v>118</v>
      </c>
      <c r="C51" s="65"/>
      <c r="D51" s="65"/>
      <c r="E51" s="63"/>
      <c r="F51" s="62"/>
      <c r="G51" s="73"/>
      <c r="H51" s="63"/>
      <c r="I51" s="62"/>
      <c r="J51" s="73"/>
      <c r="K51" s="63"/>
      <c r="L51" s="76"/>
      <c r="M51" s="63"/>
    </row>
    <row r="52" spans="1:13" ht="19.5">
      <c r="A52" s="14"/>
      <c r="B52" s="14"/>
      <c r="C52" s="14" t="s">
        <v>123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7.25">
      <c r="A53" s="14"/>
      <c r="C53" s="14" t="s">
        <v>147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9.5">
      <c r="A54" s="14"/>
      <c r="C54" s="14" t="s">
        <v>124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7.25">
      <c r="A55" s="14"/>
      <c r="D55" s="14"/>
      <c r="E55" s="14"/>
      <c r="F55" s="14"/>
      <c r="G55" s="14"/>
      <c r="H55" s="14"/>
      <c r="I55" s="14"/>
      <c r="J55" s="14"/>
      <c r="K55" s="113" t="s">
        <v>30</v>
      </c>
      <c r="L55" s="103" t="s">
        <v>72</v>
      </c>
      <c r="M55" s="118" t="s">
        <v>91</v>
      </c>
    </row>
    <row r="56" spans="1:13" ht="17.25">
      <c r="A56" s="14"/>
      <c r="C56" s="114" t="s">
        <v>97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9.5">
      <c r="A57" s="14"/>
      <c r="B57" s="14"/>
      <c r="C57" s="14" t="s">
        <v>120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9.5">
      <c r="A58" s="14"/>
      <c r="B58" s="14"/>
      <c r="C58" s="14" t="s">
        <v>121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9.5">
      <c r="A59" s="14"/>
      <c r="B59" s="14"/>
      <c r="C59" s="14" t="s">
        <v>122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7.25">
      <c r="A60" s="14"/>
      <c r="B60" s="14"/>
      <c r="C60" s="109"/>
      <c r="D60" s="14"/>
      <c r="E60" s="14"/>
      <c r="G60" s="14"/>
      <c r="H60" s="14"/>
      <c r="I60" s="14"/>
      <c r="J60" s="14"/>
      <c r="K60" s="113" t="s">
        <v>30</v>
      </c>
      <c r="L60" s="103" t="s">
        <v>72</v>
      </c>
      <c r="M60" s="118">
        <v>3</v>
      </c>
    </row>
    <row r="61" spans="1:13" ht="17.25" hidden="1">
      <c r="A61" s="14"/>
      <c r="B61" s="14"/>
      <c r="C61" s="109"/>
      <c r="D61" s="14"/>
      <c r="E61" s="14"/>
      <c r="F61" s="14"/>
      <c r="G61" s="14"/>
      <c r="H61" s="14" t="s">
        <v>90</v>
      </c>
      <c r="I61" s="14" t="s">
        <v>91</v>
      </c>
      <c r="J61" s="14" t="s">
        <v>92</v>
      </c>
      <c r="K61" s="14"/>
      <c r="L61" s="14"/>
      <c r="M61" s="14"/>
    </row>
    <row r="62" spans="7:10" ht="17.25" hidden="1">
      <c r="G62" s="1" t="s">
        <v>54</v>
      </c>
      <c r="H62" s="110">
        <f>IF($M$60=1,$F$36,IF($M$60=2,$I$36,$L$36))</f>
        <v>0.47</v>
      </c>
      <c r="I62" s="110">
        <f>IF($M$60=1,$F$41,IF($M$60=2,$I$41,$L$41))</f>
        <v>0.43</v>
      </c>
      <c r="J62" s="110">
        <f>IF($M$60=1,$F$48,IF($M$60=2,$I$48,$L$48))</f>
        <v>0.4</v>
      </c>
    </row>
    <row r="63" spans="7:10" ht="17.25" hidden="1">
      <c r="G63" s="1" t="s">
        <v>55</v>
      </c>
      <c r="H63" s="110">
        <f>IF($M$60=1,$H$36,IF($M$60=2,$K$36,$M$36))</f>
        <v>0.3</v>
      </c>
      <c r="I63" s="110">
        <f>IF($M$60=1,$H$41,IF($M$60=2,$K$41,$M$41))</f>
        <v>0.27</v>
      </c>
      <c r="J63" s="110">
        <f>IF($M$60=1,$H$48,IF($M$60=2,$K$48,$M$48))</f>
        <v>0.25</v>
      </c>
    </row>
    <row r="64" spans="3:8" ht="17.25">
      <c r="C64" s="1" t="s">
        <v>64</v>
      </c>
      <c r="H64" s="111">
        <f>IF(OR($M$55="t",$M$55="T"),$H$62,IF(OR($M$55="tb",$M$55="TB"),$I$62,$J$62))</f>
        <v>0.43</v>
      </c>
    </row>
    <row r="65" spans="3:8" ht="18">
      <c r="C65" s="1" t="s">
        <v>65</v>
      </c>
      <c r="H65" s="110">
        <f>IF(OR($M$55="t",$M$55="T"),$H$63,IF(OR($M$55="tb",$M$55="TB"),$I$63,$J$63))</f>
        <v>0.27</v>
      </c>
    </row>
    <row r="66" ht="17.25">
      <c r="H66" s="110"/>
    </row>
    <row r="67" ht="17.25">
      <c r="A67" s="40" t="s">
        <v>16</v>
      </c>
    </row>
    <row r="68" spans="2:6" ht="17.25">
      <c r="B68" s="40" t="s">
        <v>42</v>
      </c>
      <c r="E68" s="1">
        <f>G8</f>
        <v>5</v>
      </c>
      <c r="F68" s="1" t="s">
        <v>17</v>
      </c>
    </row>
    <row r="69" ht="17.25">
      <c r="B69" s="40"/>
    </row>
    <row r="70" ht="17.25">
      <c r="B70" s="40" t="s">
        <v>43</v>
      </c>
    </row>
    <row r="71" ht="18">
      <c r="C71" s="44" t="s">
        <v>44</v>
      </c>
    </row>
    <row r="72" spans="1:13" ht="17.25">
      <c r="A72" s="17"/>
      <c r="B72" s="165" t="s">
        <v>48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7"/>
    </row>
    <row r="73" spans="1:13" ht="17.25">
      <c r="A73" s="18" t="s">
        <v>5</v>
      </c>
      <c r="B73" s="165" t="s">
        <v>0</v>
      </c>
      <c r="C73" s="166"/>
      <c r="D73" s="167"/>
      <c r="E73" s="165" t="s">
        <v>1</v>
      </c>
      <c r="F73" s="166"/>
      <c r="G73" s="167"/>
      <c r="H73" s="165" t="s">
        <v>2</v>
      </c>
      <c r="I73" s="166"/>
      <c r="J73" s="167"/>
      <c r="K73" s="165" t="s">
        <v>3</v>
      </c>
      <c r="L73" s="166"/>
      <c r="M73" s="167"/>
    </row>
    <row r="74" spans="1:13" ht="17.25">
      <c r="A74" s="18" t="s">
        <v>6</v>
      </c>
      <c r="B74" s="128" t="s">
        <v>36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30"/>
    </row>
    <row r="75" spans="1:13" ht="17.25">
      <c r="A75" s="45"/>
      <c r="B75" s="21" t="s">
        <v>4</v>
      </c>
      <c r="C75" s="21" t="s">
        <v>8</v>
      </c>
      <c r="D75" s="5" t="s">
        <v>18</v>
      </c>
      <c r="E75" s="21" t="s">
        <v>4</v>
      </c>
      <c r="F75" s="21" t="s">
        <v>8</v>
      </c>
      <c r="G75" s="21" t="s">
        <v>18</v>
      </c>
      <c r="H75" s="21" t="s">
        <v>4</v>
      </c>
      <c r="I75" s="21" t="s">
        <v>8</v>
      </c>
      <c r="J75" s="21" t="s">
        <v>18</v>
      </c>
      <c r="K75" s="21" t="s">
        <v>4</v>
      </c>
      <c r="L75" s="21" t="s">
        <v>8</v>
      </c>
      <c r="M75" s="21" t="s">
        <v>18</v>
      </c>
    </row>
    <row r="76" spans="1:13" s="3" customFormat="1" ht="17.25">
      <c r="A76" s="46">
        <v>1</v>
      </c>
      <c r="B76" s="22">
        <v>195</v>
      </c>
      <c r="C76" s="22">
        <v>190</v>
      </c>
      <c r="D76" s="22">
        <v>185</v>
      </c>
      <c r="E76" s="28">
        <v>185</v>
      </c>
      <c r="F76" s="25">
        <v>180</v>
      </c>
      <c r="G76" s="28">
        <v>175</v>
      </c>
      <c r="H76" s="28">
        <v>175</v>
      </c>
      <c r="I76" s="29">
        <v>170</v>
      </c>
      <c r="J76" s="28">
        <v>165</v>
      </c>
      <c r="K76" s="28">
        <v>165</v>
      </c>
      <c r="L76" s="29">
        <v>160</v>
      </c>
      <c r="M76" s="28">
        <v>155</v>
      </c>
    </row>
    <row r="77" spans="1:13" s="3" customFormat="1" ht="17.25">
      <c r="A77" s="19">
        <v>2</v>
      </c>
      <c r="B77" s="23">
        <v>195</v>
      </c>
      <c r="C77" s="23">
        <v>190</v>
      </c>
      <c r="D77" s="23">
        <v>185</v>
      </c>
      <c r="E77" s="18">
        <v>185</v>
      </c>
      <c r="F77" s="26">
        <v>180</v>
      </c>
      <c r="G77" s="18">
        <v>175</v>
      </c>
      <c r="H77" s="18">
        <v>175</v>
      </c>
      <c r="I77" s="30">
        <v>170</v>
      </c>
      <c r="J77" s="18">
        <v>165</v>
      </c>
      <c r="K77" s="18">
        <v>165</v>
      </c>
      <c r="L77" s="30">
        <v>160</v>
      </c>
      <c r="M77" s="18">
        <v>155</v>
      </c>
    </row>
    <row r="78" spans="1:13" s="3" customFormat="1" ht="17.25">
      <c r="A78" s="19">
        <v>3</v>
      </c>
      <c r="B78" s="23">
        <v>205</v>
      </c>
      <c r="C78" s="23">
        <v>200</v>
      </c>
      <c r="D78" s="23">
        <v>195</v>
      </c>
      <c r="E78" s="18">
        <v>195</v>
      </c>
      <c r="F78" s="26">
        <v>190</v>
      </c>
      <c r="G78" s="18">
        <v>185</v>
      </c>
      <c r="H78" s="18">
        <v>185</v>
      </c>
      <c r="I78" s="30">
        <v>180</v>
      </c>
      <c r="J78" s="18">
        <v>175</v>
      </c>
      <c r="K78" s="18">
        <v>175</v>
      </c>
      <c r="L78" s="30">
        <v>170</v>
      </c>
      <c r="M78" s="18">
        <v>165</v>
      </c>
    </row>
    <row r="79" spans="1:13" s="3" customFormat="1" ht="17.25">
      <c r="A79" s="19">
        <v>4</v>
      </c>
      <c r="B79" s="23">
        <v>205</v>
      </c>
      <c r="C79" s="23">
        <v>200</v>
      </c>
      <c r="D79" s="23">
        <v>195</v>
      </c>
      <c r="E79" s="18">
        <v>195</v>
      </c>
      <c r="F79" s="26">
        <v>190</v>
      </c>
      <c r="G79" s="18">
        <v>185</v>
      </c>
      <c r="H79" s="18">
        <v>185</v>
      </c>
      <c r="I79" s="30">
        <v>180</v>
      </c>
      <c r="J79" s="18">
        <v>175</v>
      </c>
      <c r="K79" s="18">
        <v>175</v>
      </c>
      <c r="L79" s="30">
        <v>170</v>
      </c>
      <c r="M79" s="18">
        <v>165</v>
      </c>
    </row>
    <row r="80" spans="1:13" s="3" customFormat="1" ht="17.25">
      <c r="A80" s="19">
        <v>5</v>
      </c>
      <c r="B80" s="23">
        <v>210</v>
      </c>
      <c r="C80" s="23">
        <v>205</v>
      </c>
      <c r="D80" s="23">
        <v>200</v>
      </c>
      <c r="E80" s="18">
        <v>200</v>
      </c>
      <c r="F80" s="26">
        <v>195</v>
      </c>
      <c r="G80" s="18">
        <v>190</v>
      </c>
      <c r="H80" s="18">
        <v>190</v>
      </c>
      <c r="I80" s="30">
        <v>185</v>
      </c>
      <c r="J80" s="18">
        <v>180</v>
      </c>
      <c r="K80" s="18">
        <v>180</v>
      </c>
      <c r="L80" s="30">
        <v>175</v>
      </c>
      <c r="M80" s="18">
        <v>170</v>
      </c>
    </row>
    <row r="81" spans="1:13" s="3" customFormat="1" ht="17.25">
      <c r="A81" s="19">
        <v>6</v>
      </c>
      <c r="B81" s="23">
        <v>210</v>
      </c>
      <c r="C81" s="23">
        <v>205</v>
      </c>
      <c r="D81" s="23">
        <v>200</v>
      </c>
      <c r="E81" s="18">
        <v>200</v>
      </c>
      <c r="F81" s="26">
        <v>195</v>
      </c>
      <c r="G81" s="18">
        <v>190</v>
      </c>
      <c r="H81" s="18">
        <v>190</v>
      </c>
      <c r="I81" s="30">
        <v>185</v>
      </c>
      <c r="J81" s="18">
        <v>180</v>
      </c>
      <c r="K81" s="18">
        <v>180</v>
      </c>
      <c r="L81" s="30">
        <v>175</v>
      </c>
      <c r="M81" s="18">
        <v>170</v>
      </c>
    </row>
    <row r="82" spans="1:13" s="3" customFormat="1" ht="17.25">
      <c r="A82" s="19">
        <v>7</v>
      </c>
      <c r="B82" s="23">
        <v>215</v>
      </c>
      <c r="C82" s="23">
        <v>210</v>
      </c>
      <c r="D82" s="23">
        <v>205</v>
      </c>
      <c r="E82" s="18">
        <v>205</v>
      </c>
      <c r="F82" s="26">
        <v>200</v>
      </c>
      <c r="G82" s="18">
        <v>195</v>
      </c>
      <c r="H82" s="18">
        <v>195</v>
      </c>
      <c r="I82" s="30">
        <v>190</v>
      </c>
      <c r="J82" s="18">
        <v>185</v>
      </c>
      <c r="K82" s="18">
        <v>185</v>
      </c>
      <c r="L82" s="30">
        <v>180</v>
      </c>
      <c r="M82" s="18">
        <v>175</v>
      </c>
    </row>
    <row r="83" spans="1:13" s="3" customFormat="1" ht="17.25">
      <c r="A83" s="19">
        <v>8</v>
      </c>
      <c r="B83" s="23">
        <v>215</v>
      </c>
      <c r="C83" s="23">
        <v>210</v>
      </c>
      <c r="D83" s="23">
        <v>205</v>
      </c>
      <c r="E83" s="18">
        <v>205</v>
      </c>
      <c r="F83" s="26">
        <v>200</v>
      </c>
      <c r="G83" s="18">
        <v>195</v>
      </c>
      <c r="H83" s="18">
        <v>195</v>
      </c>
      <c r="I83" s="30">
        <v>190</v>
      </c>
      <c r="J83" s="18">
        <v>185</v>
      </c>
      <c r="K83" s="18">
        <v>185</v>
      </c>
      <c r="L83" s="30">
        <v>180</v>
      </c>
      <c r="M83" s="18">
        <v>175</v>
      </c>
    </row>
    <row r="84" spans="1:13" s="3" customFormat="1" ht="17.25">
      <c r="A84" s="19">
        <v>9</v>
      </c>
      <c r="B84" s="23">
        <v>220</v>
      </c>
      <c r="C84" s="23">
        <v>215</v>
      </c>
      <c r="D84" s="23">
        <v>210</v>
      </c>
      <c r="E84" s="18">
        <v>210</v>
      </c>
      <c r="F84" s="26">
        <v>205</v>
      </c>
      <c r="G84" s="18">
        <v>200</v>
      </c>
      <c r="H84" s="18">
        <v>200</v>
      </c>
      <c r="I84" s="30">
        <v>195</v>
      </c>
      <c r="J84" s="18">
        <v>190</v>
      </c>
      <c r="K84" s="18">
        <v>190</v>
      </c>
      <c r="L84" s="30">
        <v>185</v>
      </c>
      <c r="M84" s="18">
        <v>180</v>
      </c>
    </row>
    <row r="85" spans="1:13" s="3" customFormat="1" ht="17.25">
      <c r="A85" s="19">
        <v>10</v>
      </c>
      <c r="B85" s="23">
        <v>220</v>
      </c>
      <c r="C85" s="23">
        <v>215</v>
      </c>
      <c r="D85" s="23">
        <v>210</v>
      </c>
      <c r="E85" s="18">
        <v>210</v>
      </c>
      <c r="F85" s="26">
        <v>205</v>
      </c>
      <c r="G85" s="18">
        <v>200</v>
      </c>
      <c r="H85" s="18">
        <v>200</v>
      </c>
      <c r="I85" s="30">
        <v>195</v>
      </c>
      <c r="J85" s="18">
        <v>190</v>
      </c>
      <c r="K85" s="18">
        <v>190</v>
      </c>
      <c r="L85" s="30">
        <v>185</v>
      </c>
      <c r="M85" s="18">
        <v>180</v>
      </c>
    </row>
    <row r="86" spans="1:13" s="3" customFormat="1" ht="17.25">
      <c r="A86" s="19">
        <v>11</v>
      </c>
      <c r="B86" s="23">
        <v>225</v>
      </c>
      <c r="C86" s="23">
        <v>220</v>
      </c>
      <c r="D86" s="23">
        <v>215</v>
      </c>
      <c r="E86" s="18">
        <v>215</v>
      </c>
      <c r="F86" s="26">
        <v>210</v>
      </c>
      <c r="G86" s="18">
        <v>205</v>
      </c>
      <c r="H86" s="18">
        <v>205</v>
      </c>
      <c r="I86" s="30">
        <v>200</v>
      </c>
      <c r="J86" s="18">
        <v>195</v>
      </c>
      <c r="K86" s="18">
        <v>195</v>
      </c>
      <c r="L86" s="30">
        <v>190</v>
      </c>
      <c r="M86" s="18">
        <v>185</v>
      </c>
    </row>
    <row r="87" spans="1:13" s="3" customFormat="1" ht="17.25">
      <c r="A87" s="20">
        <v>12</v>
      </c>
      <c r="B87" s="24">
        <v>225</v>
      </c>
      <c r="C87" s="24">
        <v>220</v>
      </c>
      <c r="D87" s="24">
        <v>215</v>
      </c>
      <c r="E87" s="31">
        <v>215</v>
      </c>
      <c r="F87" s="27">
        <v>210</v>
      </c>
      <c r="G87" s="31">
        <v>205</v>
      </c>
      <c r="H87" s="31">
        <v>205</v>
      </c>
      <c r="I87" s="32">
        <v>200</v>
      </c>
      <c r="J87" s="31">
        <v>195</v>
      </c>
      <c r="K87" s="31">
        <v>195</v>
      </c>
      <c r="L87" s="32">
        <v>190</v>
      </c>
      <c r="M87" s="31">
        <v>185</v>
      </c>
    </row>
    <row r="88" spans="1:13" ht="17.25">
      <c r="A88" s="47"/>
      <c r="B88" s="48"/>
      <c r="C88" s="49">
        <f>IF(AND($I$25&gt;=1.5,$I$25&lt;1.9),VLOOKUP($G$8,A76:M87,2,0),IF(AND($I$25&gt;=2,$I$25&lt;2.4),VLOOKUP($G$8,A76:M87,3,0),IF(AND($I$25&gt;=2.5,$I$25&lt;3),VLOOKUP($G$8,A76:M87,4,0))))</f>
        <v>200</v>
      </c>
      <c r="D88" s="50"/>
      <c r="E88" s="15"/>
      <c r="F88" s="49">
        <f>IF(AND($I$25&gt;=1.5,$I$25&lt;1.9),VLOOKUP($G$8,A76:M87,5,0),IF(AND($I$25&gt;=2,$I$25&lt;2.4),VLOOKUP($G$8,A76:M87,6,0),IF(AND($I$25&gt;=2.5,$I$25&lt;3),VLOOKUP($G$8,A76:M87,7,0))))</f>
        <v>190</v>
      </c>
      <c r="G88" s="16"/>
      <c r="H88" s="15"/>
      <c r="I88" s="49">
        <f>IF(AND($I$25&gt;=1.5,$I$25&lt;1.9),VLOOKUP($G$8,A76:M87,8,0),IF(AND($I$25&gt;=2,$I$25&lt;2.4),VLOOKUP($G$8,A76:M87,9,0),IF(AND($I$25&gt;=2.5,$I$25&lt;3),VLOOKUP($G$8,A76:M87,10,0))))</f>
        <v>180</v>
      </c>
      <c r="J88" s="16"/>
      <c r="K88" s="15"/>
      <c r="L88" s="49">
        <f>IF(AND($I$25&gt;=1.5,$I$25&lt;1.9),VLOOKUP($G$8,A76:M87,11,0),IF(AND($I$25&gt;=2,$I$25&lt;2.4),VLOOKUP($G$8,A76:M87,12,0),IF(AND($I$25&gt;=2.5,$I$25&lt;3),VLOOKUP($G$8,A76:M87,13,0))))</f>
        <v>170</v>
      </c>
      <c r="M88" s="16"/>
    </row>
    <row r="89" spans="1:13" ht="17.25">
      <c r="A89" s="6"/>
      <c r="B89" s="7"/>
      <c r="C89" s="2" t="s">
        <v>20</v>
      </c>
      <c r="D89" s="7"/>
      <c r="E89" s="14"/>
      <c r="F89" s="10"/>
      <c r="G89" s="2">
        <f>IF($I$22=10,$C$88,IF($I$22=20,$F$88,IF($I$22=40,$I$88,IF($I$22=70,$L$88))))</f>
        <v>190</v>
      </c>
      <c r="H89" s="14" t="s">
        <v>19</v>
      </c>
      <c r="I89" s="11"/>
      <c r="J89" s="14"/>
      <c r="K89" s="14"/>
      <c r="L89" s="11"/>
      <c r="M89" s="14"/>
    </row>
    <row r="90" spans="1:13" ht="17.25">
      <c r="A90" s="6"/>
      <c r="B90" s="7"/>
      <c r="C90" s="1" t="s">
        <v>86</v>
      </c>
      <c r="D90" s="7"/>
      <c r="E90" s="14"/>
      <c r="F90" s="10"/>
      <c r="G90" s="12"/>
      <c r="H90" s="14"/>
      <c r="I90" s="11"/>
      <c r="J90" s="14">
        <f>IF($M$19=1,$G$89,$G$89-10)</f>
        <v>190</v>
      </c>
      <c r="K90" s="14" t="s">
        <v>19</v>
      </c>
      <c r="L90" s="11"/>
      <c r="M90" s="14"/>
    </row>
    <row r="91" spans="1:13" ht="17.25">
      <c r="A91" s="6"/>
      <c r="B91" s="7"/>
      <c r="C91" s="1" t="s">
        <v>87</v>
      </c>
      <c r="D91" s="7"/>
      <c r="E91" s="14"/>
      <c r="F91" s="10"/>
      <c r="G91" s="12"/>
      <c r="H91" s="14"/>
      <c r="I91" s="11"/>
      <c r="J91" s="14">
        <f>IF($M$14=0,$J$90+10,IF($M$14=1,$J$90+15,$J$90))</f>
        <v>190</v>
      </c>
      <c r="K91" s="14" t="s">
        <v>19</v>
      </c>
      <c r="L91" s="11"/>
      <c r="M91" s="14"/>
    </row>
    <row r="92" spans="1:13" ht="17.25">
      <c r="A92" s="6"/>
      <c r="B92" s="7"/>
      <c r="C92" s="1" t="s">
        <v>88</v>
      </c>
      <c r="D92" s="7"/>
      <c r="E92" s="14"/>
      <c r="F92" s="10"/>
      <c r="G92" s="12"/>
      <c r="H92" s="14"/>
      <c r="I92" s="11"/>
      <c r="J92" s="14">
        <f>IF(AND($I$25&gt;=1,$I$25&lt;=1.4),$G$89+5,(IF($I$25&gt;3,$G$89-5,$G$89)))</f>
        <v>190</v>
      </c>
      <c r="K92" s="14" t="s">
        <v>19</v>
      </c>
      <c r="L92" s="11"/>
      <c r="M92" s="14"/>
    </row>
    <row r="93" spans="1:13" ht="17.25">
      <c r="A93" s="6"/>
      <c r="B93" s="40" t="s">
        <v>45</v>
      </c>
      <c r="C93" s="7"/>
      <c r="D93" s="7"/>
      <c r="E93" s="14"/>
      <c r="F93" s="10"/>
      <c r="G93" s="2">
        <f>IF(($G$6*$G$7/($H$64*$I$16)+0.5)&lt;=2.5,($G$7*$G$6/($H$64*$I$16)+0.5),($G$7*$G$6/($H$65*$I$16)-0.5))</f>
        <v>2.2070757050964867</v>
      </c>
      <c r="H93" s="14"/>
      <c r="I93" s="11"/>
      <c r="J93" s="14"/>
      <c r="K93" s="14"/>
      <c r="L93" s="11"/>
      <c r="M93" s="14"/>
    </row>
    <row r="94" spans="1:13" ht="17.25">
      <c r="A94" s="6"/>
      <c r="B94" s="7"/>
      <c r="C94" s="2" t="s">
        <v>21</v>
      </c>
      <c r="D94" s="7"/>
      <c r="E94" s="14"/>
      <c r="F94" s="10"/>
      <c r="G94" s="14">
        <f>$J$91*$G$93</f>
        <v>419.34438396833247</v>
      </c>
      <c r="H94" s="14" t="s">
        <v>7</v>
      </c>
      <c r="I94" s="11"/>
      <c r="J94" s="14"/>
      <c r="K94" s="14"/>
      <c r="L94" s="11"/>
      <c r="M94" s="14"/>
    </row>
    <row r="95" spans="1:13" ht="17.25">
      <c r="A95" s="6"/>
      <c r="B95" s="7"/>
      <c r="C95" s="2" t="s">
        <v>119</v>
      </c>
      <c r="D95" s="7"/>
      <c r="E95" s="14"/>
      <c r="F95" s="10"/>
      <c r="G95" s="14"/>
      <c r="H95" s="14"/>
      <c r="I95" s="11"/>
      <c r="J95" s="14"/>
      <c r="K95" s="14">
        <f>IF($G$94&gt;400,(10*$J$91-400)/(10-$G$93),$J$91)</f>
        <v>192.48230102542936</v>
      </c>
      <c r="L95" s="14" t="s">
        <v>19</v>
      </c>
      <c r="M95" s="14"/>
    </row>
    <row r="96" spans="1:13" ht="17.25">
      <c r="A96" s="6"/>
      <c r="B96" s="7"/>
      <c r="C96" s="2" t="s">
        <v>22</v>
      </c>
      <c r="D96" s="7"/>
      <c r="E96" s="14"/>
      <c r="F96" s="10"/>
      <c r="G96" s="14"/>
      <c r="H96" s="14"/>
      <c r="I96" s="11">
        <f>$K$95*$G$93</f>
        <v>424.8230102542937</v>
      </c>
      <c r="J96" s="14" t="s">
        <v>7</v>
      </c>
      <c r="K96" s="14"/>
      <c r="L96" s="11"/>
      <c r="M96" s="14"/>
    </row>
    <row r="97" spans="1:13" ht="17.25">
      <c r="A97" s="6"/>
      <c r="B97" s="7"/>
      <c r="C97" s="2"/>
      <c r="D97" s="7"/>
      <c r="E97" s="14"/>
      <c r="F97" s="10"/>
      <c r="G97" s="14"/>
      <c r="H97" s="14"/>
      <c r="I97" s="42"/>
      <c r="J97" s="14"/>
      <c r="K97" s="14"/>
      <c r="L97" s="11"/>
      <c r="M97" s="14"/>
    </row>
    <row r="98" spans="1:13" ht="17.25">
      <c r="A98" s="6"/>
      <c r="B98" s="40" t="s">
        <v>46</v>
      </c>
      <c r="C98" s="7"/>
      <c r="D98" s="7"/>
      <c r="E98" s="14"/>
      <c r="F98" s="10"/>
      <c r="G98" s="14"/>
      <c r="H98" s="14"/>
      <c r="I98" s="11"/>
      <c r="J98" s="14"/>
      <c r="K98" s="14"/>
      <c r="L98" s="11"/>
      <c r="M98" s="14"/>
    </row>
    <row r="99" spans="1:13" ht="18">
      <c r="A99" s="6"/>
      <c r="B99" s="7"/>
      <c r="C99" s="1" t="s">
        <v>37</v>
      </c>
      <c r="D99" s="7"/>
      <c r="E99" s="14"/>
      <c r="F99" s="10"/>
      <c r="G99" s="14"/>
      <c r="H99" s="39">
        <f>1-($I$21/$I$20/1000)</f>
        <v>0.45210727969348663</v>
      </c>
      <c r="I99" s="11"/>
      <c r="J99" s="14"/>
      <c r="K99" s="14"/>
      <c r="L99" s="11"/>
      <c r="M99" s="14"/>
    </row>
    <row r="100" spans="1:13" ht="18">
      <c r="A100" s="6"/>
      <c r="B100" s="7"/>
      <c r="C100" s="1" t="s">
        <v>23</v>
      </c>
      <c r="D100" s="7"/>
      <c r="E100" s="14"/>
      <c r="F100" s="10"/>
      <c r="G100" s="14"/>
      <c r="H100" s="39">
        <f>$H$119</f>
        <v>1.4572351708041933</v>
      </c>
      <c r="I100" s="11"/>
      <c r="J100" s="14"/>
      <c r="K100" s="14"/>
      <c r="L100" s="2"/>
      <c r="M100" s="14"/>
    </row>
    <row r="101" spans="1:13" ht="18">
      <c r="A101" s="6"/>
      <c r="B101" s="7"/>
      <c r="C101" s="7"/>
      <c r="D101" s="2" t="s">
        <v>38</v>
      </c>
      <c r="E101" s="14"/>
      <c r="F101" s="10">
        <f>$I$96/$I$17+$K$95</f>
        <v>329.5219817526209</v>
      </c>
      <c r="G101" s="14" t="s">
        <v>24</v>
      </c>
      <c r="H101" s="14"/>
      <c r="I101" s="11"/>
      <c r="J101" s="14"/>
      <c r="K101" s="14"/>
      <c r="L101" s="11"/>
      <c r="M101" s="14"/>
    </row>
    <row r="102" spans="1:13" ht="17.25">
      <c r="A102" s="6"/>
      <c r="B102" s="102" t="s">
        <v>70</v>
      </c>
      <c r="C102" s="7"/>
      <c r="D102" s="2"/>
      <c r="E102" s="14"/>
      <c r="F102" s="10"/>
      <c r="G102" s="14"/>
      <c r="H102" s="14"/>
      <c r="I102" s="11"/>
      <c r="J102" s="14"/>
      <c r="K102" s="14"/>
      <c r="L102" s="11"/>
      <c r="M102" s="14"/>
    </row>
    <row r="103" spans="1:12" ht="18">
      <c r="A103" s="6"/>
      <c r="B103" s="95" t="s">
        <v>66</v>
      </c>
      <c r="C103" s="140" t="s">
        <v>69</v>
      </c>
      <c r="D103" s="141"/>
      <c r="E103" s="141"/>
      <c r="F103" s="141"/>
      <c r="G103" s="141"/>
      <c r="H103" s="141"/>
      <c r="I103" s="141"/>
      <c r="J103" s="141"/>
      <c r="K103" s="141"/>
      <c r="L103" s="142"/>
    </row>
    <row r="104" spans="1:13" ht="17.25">
      <c r="A104" s="6"/>
      <c r="B104" s="96" t="s">
        <v>67</v>
      </c>
      <c r="C104" s="143"/>
      <c r="D104" s="144"/>
      <c r="E104" s="144"/>
      <c r="F104" s="144"/>
      <c r="G104" s="144"/>
      <c r="H104" s="144"/>
      <c r="I104" s="144"/>
      <c r="J104" s="144"/>
      <c r="K104" s="144"/>
      <c r="L104" s="145"/>
      <c r="M104" s="14"/>
    </row>
    <row r="105" spans="1:13" ht="17.25">
      <c r="A105" s="6"/>
      <c r="B105" s="97" t="s">
        <v>68</v>
      </c>
      <c r="C105" s="98">
        <v>225</v>
      </c>
      <c r="D105" s="99">
        <v>250</v>
      </c>
      <c r="E105" s="98">
        <v>275</v>
      </c>
      <c r="F105" s="99">
        <v>300</v>
      </c>
      <c r="G105" s="98">
        <v>325</v>
      </c>
      <c r="H105" s="99">
        <v>350</v>
      </c>
      <c r="I105" s="98">
        <v>375</v>
      </c>
      <c r="J105" s="99">
        <v>400</v>
      </c>
      <c r="K105" s="98">
        <v>425</v>
      </c>
      <c r="L105" s="99">
        <v>450</v>
      </c>
      <c r="M105" s="14"/>
    </row>
    <row r="106" spans="1:13" ht="17.25">
      <c r="A106" s="6"/>
      <c r="B106" s="101">
        <v>3</v>
      </c>
      <c r="C106" s="38">
        <v>1.33</v>
      </c>
      <c r="D106" s="100">
        <v>1.38</v>
      </c>
      <c r="E106" s="38">
        <v>1.43</v>
      </c>
      <c r="F106" s="100">
        <v>1.48</v>
      </c>
      <c r="G106" s="38">
        <v>1.52</v>
      </c>
      <c r="H106" s="100">
        <v>1.56</v>
      </c>
      <c r="I106" s="38">
        <v>1.59</v>
      </c>
      <c r="J106" s="100">
        <v>1.62</v>
      </c>
      <c r="K106" s="38">
        <v>1.64</v>
      </c>
      <c r="L106" s="100">
        <v>1.66</v>
      </c>
      <c r="M106" s="14"/>
    </row>
    <row r="107" spans="1:13" ht="17.25">
      <c r="A107" s="6"/>
      <c r="B107" s="101">
        <v>2.75</v>
      </c>
      <c r="C107" s="38">
        <v>1.3</v>
      </c>
      <c r="D107" s="100">
        <v>1.35</v>
      </c>
      <c r="E107" s="38">
        <v>1.4</v>
      </c>
      <c r="F107" s="100">
        <v>1.45</v>
      </c>
      <c r="G107" s="38">
        <v>1.49</v>
      </c>
      <c r="H107" s="100">
        <v>1.53</v>
      </c>
      <c r="I107" s="38">
        <v>1.56</v>
      </c>
      <c r="J107" s="100">
        <v>1.59</v>
      </c>
      <c r="K107" s="38">
        <v>1.61</v>
      </c>
      <c r="L107" s="100">
        <v>1.63</v>
      </c>
      <c r="M107" s="14"/>
    </row>
    <row r="108" spans="1:13" ht="17.25">
      <c r="A108" s="6"/>
      <c r="B108" s="101">
        <v>2.5</v>
      </c>
      <c r="C108" s="38">
        <v>1.26</v>
      </c>
      <c r="D108" s="100">
        <v>1.31</v>
      </c>
      <c r="E108" s="38">
        <v>1.36</v>
      </c>
      <c r="F108" s="100">
        <v>1.41</v>
      </c>
      <c r="G108" s="38">
        <v>1.45</v>
      </c>
      <c r="H108" s="100">
        <v>1.49</v>
      </c>
      <c r="I108" s="38">
        <v>1.52</v>
      </c>
      <c r="J108" s="100">
        <v>1.55</v>
      </c>
      <c r="K108" s="38">
        <v>1.57</v>
      </c>
      <c r="L108" s="100">
        <v>1.59</v>
      </c>
      <c r="M108" s="14"/>
    </row>
    <row r="109" spans="1:13" ht="17.25">
      <c r="A109" s="6"/>
      <c r="B109" s="101">
        <v>2.25</v>
      </c>
      <c r="C109" s="38">
        <v>1.24</v>
      </c>
      <c r="D109" s="100">
        <v>1.29</v>
      </c>
      <c r="E109" s="38">
        <v>1.34</v>
      </c>
      <c r="F109" s="100">
        <v>1.39</v>
      </c>
      <c r="G109" s="38">
        <v>1.43</v>
      </c>
      <c r="H109" s="100">
        <v>1.47</v>
      </c>
      <c r="I109" s="38">
        <v>1.5</v>
      </c>
      <c r="J109" s="100">
        <v>1.53</v>
      </c>
      <c r="K109" s="38">
        <v>1.55</v>
      </c>
      <c r="L109" s="100">
        <v>1.57</v>
      </c>
      <c r="M109" s="14"/>
    </row>
    <row r="110" spans="1:13" ht="17.25">
      <c r="A110" s="6"/>
      <c r="B110" s="101">
        <v>2</v>
      </c>
      <c r="C110" s="38">
        <v>1.22</v>
      </c>
      <c r="D110" s="100">
        <v>1.27</v>
      </c>
      <c r="E110" s="38">
        <v>1.32</v>
      </c>
      <c r="F110" s="100">
        <v>1.37</v>
      </c>
      <c r="G110" s="38">
        <v>1.41</v>
      </c>
      <c r="H110" s="100">
        <v>1.45</v>
      </c>
      <c r="I110" s="38">
        <v>1.48</v>
      </c>
      <c r="J110" s="100">
        <v>1.51</v>
      </c>
      <c r="K110" s="38">
        <v>1.53</v>
      </c>
      <c r="L110" s="100">
        <v>1.55</v>
      </c>
      <c r="M110" s="14"/>
    </row>
    <row r="111" spans="1:13" ht="17.25">
      <c r="A111" s="6"/>
      <c r="B111" s="101">
        <v>1.75</v>
      </c>
      <c r="C111" s="38">
        <v>1.14</v>
      </c>
      <c r="D111" s="100">
        <v>1.19</v>
      </c>
      <c r="E111" s="38">
        <v>1.24</v>
      </c>
      <c r="F111" s="100">
        <v>1.29</v>
      </c>
      <c r="G111" s="38">
        <v>1.33</v>
      </c>
      <c r="H111" s="100">
        <v>1.37</v>
      </c>
      <c r="I111" s="38">
        <v>1.4</v>
      </c>
      <c r="J111" s="100">
        <v>1.43</v>
      </c>
      <c r="K111" s="38">
        <v>1.45</v>
      </c>
      <c r="L111" s="100">
        <v>1.47</v>
      </c>
      <c r="M111" s="14"/>
    </row>
    <row r="112" spans="1:13" ht="17.25">
      <c r="A112" s="6"/>
      <c r="B112" s="101">
        <v>1.5</v>
      </c>
      <c r="C112" s="38">
        <v>1.07</v>
      </c>
      <c r="D112" s="100">
        <v>1.12</v>
      </c>
      <c r="E112" s="38">
        <v>1.17</v>
      </c>
      <c r="F112" s="100">
        <v>1.22</v>
      </c>
      <c r="G112" s="38">
        <v>1.26</v>
      </c>
      <c r="H112" s="100">
        <v>1.3</v>
      </c>
      <c r="I112" s="38">
        <v>1.33</v>
      </c>
      <c r="J112" s="100">
        <v>1.36</v>
      </c>
      <c r="K112" s="38">
        <v>1.33</v>
      </c>
      <c r="L112" s="100">
        <v>1.4</v>
      </c>
      <c r="M112" s="14"/>
    </row>
    <row r="113" spans="1:13" ht="18">
      <c r="A113" s="6"/>
      <c r="B113" s="7"/>
      <c r="C113" s="7"/>
      <c r="D113" s="94" t="s">
        <v>71</v>
      </c>
      <c r="E113" s="14"/>
      <c r="F113" s="10"/>
      <c r="G113" s="14"/>
      <c r="H113" s="14"/>
      <c r="I113" s="11"/>
      <c r="J113" s="14"/>
      <c r="K113" s="14"/>
      <c r="L113" s="11"/>
      <c r="M113" s="14"/>
    </row>
    <row r="114" spans="1:13" ht="18">
      <c r="A114" s="6"/>
      <c r="B114" s="7"/>
      <c r="E114" s="33" t="s">
        <v>31</v>
      </c>
      <c r="F114" s="34"/>
      <c r="G114" s="15"/>
      <c r="H114" s="4" t="s">
        <v>25</v>
      </c>
      <c r="I114" s="5"/>
      <c r="J114" s="14"/>
      <c r="K114" s="14"/>
      <c r="L114" s="11"/>
      <c r="M114" s="14"/>
    </row>
    <row r="115" spans="1:13" ht="18">
      <c r="A115" s="6"/>
      <c r="E115" s="9" t="s">
        <v>32</v>
      </c>
      <c r="F115" s="8"/>
      <c r="G115" s="15"/>
      <c r="H115" s="4" t="s">
        <v>26</v>
      </c>
      <c r="I115" s="5"/>
      <c r="J115" s="14"/>
      <c r="K115" s="14"/>
      <c r="L115" s="11"/>
      <c r="M115" s="14"/>
    </row>
    <row r="116" spans="1:13" ht="17.25">
      <c r="A116" s="6"/>
      <c r="B116" s="7"/>
      <c r="E116" s="35" t="s">
        <v>33</v>
      </c>
      <c r="F116" s="7"/>
      <c r="G116" s="21" t="s">
        <v>27</v>
      </c>
      <c r="H116" s="21" t="s">
        <v>29</v>
      </c>
      <c r="I116" s="21" t="s">
        <v>28</v>
      </c>
      <c r="J116" s="14"/>
      <c r="K116" s="14"/>
      <c r="L116" s="11"/>
      <c r="M116" s="14"/>
    </row>
    <row r="117" spans="1:13" ht="17.25">
      <c r="A117" s="6"/>
      <c r="B117" s="7"/>
      <c r="E117" s="168" t="s">
        <v>35</v>
      </c>
      <c r="F117" s="169"/>
      <c r="G117" s="120">
        <v>325</v>
      </c>
      <c r="H117" s="36">
        <f>$F$101</f>
        <v>329.5219817526209</v>
      </c>
      <c r="I117" s="120">
        <v>350</v>
      </c>
      <c r="J117" s="14"/>
      <c r="K117" s="14"/>
      <c r="L117" s="11"/>
      <c r="M117" s="14"/>
    </row>
    <row r="118" spans="1:13" ht="17.25">
      <c r="A118" s="6"/>
      <c r="B118" s="7"/>
      <c r="E118" s="21" t="s">
        <v>28</v>
      </c>
      <c r="F118" s="121">
        <v>2.75</v>
      </c>
      <c r="G118" s="120">
        <v>1.49</v>
      </c>
      <c r="H118" s="37">
        <f>($H$117-$G$117)/($I$117-$G$117)*($I$118-$G$118)+$G$118</f>
        <v>1.4972351708041933</v>
      </c>
      <c r="I118" s="120">
        <v>1.53</v>
      </c>
      <c r="J118" s="14"/>
      <c r="K118" s="14"/>
      <c r="L118" s="11"/>
      <c r="M118" s="14"/>
    </row>
    <row r="119" spans="1:13" ht="17.25">
      <c r="A119" s="6"/>
      <c r="B119" s="7"/>
      <c r="E119" s="21" t="s">
        <v>29</v>
      </c>
      <c r="F119" s="38">
        <f>$I$25</f>
        <v>2.5</v>
      </c>
      <c r="G119" s="21" t="s">
        <v>30</v>
      </c>
      <c r="H119" s="37">
        <f>($F$119-$F$120)/($F$118-$F$120)*($H$118-$H$120)+$H$120</f>
        <v>1.4572351708041933</v>
      </c>
      <c r="I119" s="21"/>
      <c r="J119" s="14"/>
      <c r="K119" s="14"/>
      <c r="L119" s="11"/>
      <c r="M119" s="14"/>
    </row>
    <row r="120" spans="1:13" ht="17.25">
      <c r="A120" s="6"/>
      <c r="B120" s="7"/>
      <c r="E120" s="21" t="s">
        <v>27</v>
      </c>
      <c r="F120" s="121">
        <v>2.5</v>
      </c>
      <c r="G120" s="120">
        <v>1.45</v>
      </c>
      <c r="H120" s="37">
        <f>($H$117-$G$117)/($I$117-$G$117)*($I$120-$G$120)+$G$120</f>
        <v>1.4572351708041933</v>
      </c>
      <c r="I120" s="120">
        <v>1.49</v>
      </c>
      <c r="J120" s="14"/>
      <c r="K120" s="14"/>
      <c r="M120" s="14"/>
    </row>
    <row r="121" spans="1:13" ht="17.25" hidden="1">
      <c r="A121" s="6"/>
      <c r="B121" s="7"/>
      <c r="C121" s="2" t="s">
        <v>98</v>
      </c>
      <c r="E121" s="104"/>
      <c r="F121" s="105"/>
      <c r="G121" s="106"/>
      <c r="H121" s="107"/>
      <c r="I121" s="106"/>
      <c r="J121" s="14"/>
      <c r="K121" s="108" t="s">
        <v>99</v>
      </c>
      <c r="L121" s="107">
        <f>IF(AND($G$8&gt;=14,$G$8&lt;=18),IF($I$25&lt;2,$H$119+0.1,IF(AND($I$25&gt;=2,$I$25&lt;=2.5),$H$119+0.15,$H$119+0.2)),$H$119)</f>
        <v>1.4572351708041933</v>
      </c>
      <c r="M121" s="3" t="s">
        <v>100</v>
      </c>
    </row>
    <row r="122" spans="1:13" ht="17.25">
      <c r="A122" s="6"/>
      <c r="B122" s="7"/>
      <c r="C122" s="2" t="s">
        <v>89</v>
      </c>
      <c r="F122" s="105"/>
      <c r="G122" s="106"/>
      <c r="H122" s="107"/>
      <c r="I122" s="106"/>
      <c r="J122" s="14"/>
      <c r="K122" s="107">
        <f>IF($M$19=1,$L$121,#REF!)</f>
        <v>1.4572351708041933</v>
      </c>
      <c r="L122" s="3"/>
      <c r="M122" s="14"/>
    </row>
    <row r="123" spans="1:13" ht="17.25">
      <c r="A123" s="6"/>
      <c r="B123" s="7"/>
      <c r="C123" s="2" t="s">
        <v>34</v>
      </c>
      <c r="D123" s="7"/>
      <c r="E123" s="14"/>
      <c r="F123" s="10"/>
      <c r="G123" s="14"/>
      <c r="H123" s="14"/>
      <c r="I123" s="11"/>
      <c r="J123" s="14"/>
      <c r="K123" s="14"/>
      <c r="L123" s="11"/>
      <c r="M123" s="14"/>
    </row>
    <row r="124" spans="1:13" ht="17.25">
      <c r="A124" s="6"/>
      <c r="B124" s="7"/>
      <c r="C124" s="7"/>
      <c r="D124" s="7"/>
      <c r="E124" s="109">
        <f>IF($I$26&gt;0,(($I$21/($H$99*($K$122-1)+1))-((1000-($I$96/$I$17+$E$124/$I$20+$K$95))*$I$24*$I$26/100)),$I$21/($H$99*($K$122-1)+1))</f>
        <v>1185.031134941066</v>
      </c>
      <c r="F124" s="43" t="s">
        <v>7</v>
      </c>
      <c r="G124" s="14"/>
      <c r="H124" s="14"/>
      <c r="I124" s="11"/>
      <c r="J124" s="14"/>
      <c r="K124" s="14"/>
      <c r="L124" s="11"/>
      <c r="M124" s="14"/>
    </row>
    <row r="125" spans="1:13" ht="17.25">
      <c r="A125" s="6"/>
      <c r="B125" s="7"/>
      <c r="C125" s="7"/>
      <c r="D125" s="7"/>
      <c r="E125" s="41"/>
      <c r="F125" s="43"/>
      <c r="G125" s="14"/>
      <c r="H125" s="14"/>
      <c r="I125" s="11"/>
      <c r="J125" s="14"/>
      <c r="K125" s="14"/>
      <c r="L125" s="11"/>
      <c r="M125" s="14"/>
    </row>
    <row r="126" spans="1:13" ht="17.25">
      <c r="A126" s="6"/>
      <c r="B126" s="40" t="s">
        <v>47</v>
      </c>
      <c r="C126" s="7"/>
      <c r="D126" s="7"/>
      <c r="E126" s="14"/>
      <c r="F126" s="10"/>
      <c r="G126" s="14"/>
      <c r="H126" s="14"/>
      <c r="I126" s="11"/>
      <c r="J126" s="14"/>
      <c r="K126" s="14"/>
      <c r="L126" s="11"/>
      <c r="M126" s="14"/>
    </row>
    <row r="127" spans="5:6" ht="17.25">
      <c r="E127" s="122">
        <f>IF($I$26&gt;0,(1000-($I$96/$I$17+$E$124/$I$20+$K$95))*$I$24*(1+$I$26/100),(1000-($I$96/$I$17+$E$124/$I$20+$K$95))*$I$24)</f>
        <v>573.5742167104106</v>
      </c>
      <c r="F127" s="1" t="s">
        <v>7</v>
      </c>
    </row>
    <row r="129" ht="17.25">
      <c r="A129" s="40" t="s">
        <v>129</v>
      </c>
    </row>
    <row r="130" spans="1:13" ht="17.25" customHeight="1">
      <c r="A130" s="148" t="s">
        <v>133</v>
      </c>
      <c r="B130" s="148"/>
      <c r="C130" s="148"/>
      <c r="D130" s="148"/>
      <c r="E130" s="148" t="s">
        <v>139</v>
      </c>
      <c r="F130" s="148"/>
      <c r="G130" s="148"/>
      <c r="H130" s="148"/>
      <c r="I130" s="148"/>
      <c r="J130" s="148"/>
      <c r="K130" s="148"/>
      <c r="L130" s="148"/>
      <c r="M130" s="148"/>
    </row>
    <row r="131" spans="1:13" s="13" customFormat="1" ht="18" customHeight="1">
      <c r="A131" s="148"/>
      <c r="B131" s="148"/>
      <c r="C131" s="148"/>
      <c r="D131" s="148"/>
      <c r="E131" s="21" t="s">
        <v>138</v>
      </c>
      <c r="F131" s="149" t="s">
        <v>134</v>
      </c>
      <c r="G131" s="149"/>
      <c r="H131" s="149" t="s">
        <v>135</v>
      </c>
      <c r="I131" s="149"/>
      <c r="J131" s="149" t="s">
        <v>136</v>
      </c>
      <c r="K131" s="149"/>
      <c r="L131" s="149" t="s">
        <v>137</v>
      </c>
      <c r="M131" s="149"/>
    </row>
    <row r="132" spans="1:13" ht="17.25">
      <c r="A132" s="147" t="s">
        <v>130</v>
      </c>
      <c r="B132" s="147"/>
      <c r="C132" s="147"/>
      <c r="D132" s="147"/>
      <c r="E132" s="115"/>
      <c r="F132" s="150">
        <f>$I$96</f>
        <v>424.8230102542937</v>
      </c>
      <c r="G132" s="150"/>
      <c r="H132" s="150">
        <f>$E$127</f>
        <v>573.5742167104106</v>
      </c>
      <c r="I132" s="150"/>
      <c r="J132" s="150">
        <f>$E$124</f>
        <v>1185.031134941066</v>
      </c>
      <c r="K132" s="150"/>
      <c r="L132" s="150">
        <f>$K$95</f>
        <v>192.48230102542936</v>
      </c>
      <c r="M132" s="150"/>
    </row>
    <row r="133" spans="1:13" s="13" customFormat="1" ht="17.25">
      <c r="A133" s="147" t="s">
        <v>131</v>
      </c>
      <c r="B133" s="147"/>
      <c r="C133" s="147"/>
      <c r="D133" s="147"/>
      <c r="E133" s="116"/>
      <c r="F133" s="151">
        <f>$F$132*0.9</f>
        <v>382.34070922886434</v>
      </c>
      <c r="G133" s="151"/>
      <c r="H133" s="151">
        <f>IF($I$26&lt;&gt;0,$E$127*(1+$I$26/100),$E$127)</f>
        <v>573.5742167104106</v>
      </c>
      <c r="I133" s="151"/>
      <c r="J133" s="151">
        <f>$E$124-$E$127*$I$26/100</f>
        <v>1185.031134941066</v>
      </c>
      <c r="K133" s="151"/>
      <c r="L133" s="151">
        <f>$L$132</f>
        <v>192.48230102542936</v>
      </c>
      <c r="M133" s="151"/>
    </row>
    <row r="134" spans="1:13" ht="17.25">
      <c r="A134" s="147" t="s">
        <v>132</v>
      </c>
      <c r="B134" s="147"/>
      <c r="C134" s="147"/>
      <c r="D134" s="147"/>
      <c r="E134" s="116"/>
      <c r="F134" s="151">
        <f>$F$132*1.1</f>
        <v>467.3053112797231</v>
      </c>
      <c r="G134" s="151"/>
      <c r="H134" s="151">
        <f>IF($I$26&lt;&gt;0,$E$127*(1+$I$26/100),$E$127)</f>
        <v>573.5742167104106</v>
      </c>
      <c r="I134" s="151"/>
      <c r="J134" s="151">
        <f>$E$124-$E$127*$I$26/100</f>
        <v>1185.031134941066</v>
      </c>
      <c r="K134" s="151"/>
      <c r="L134" s="151">
        <f>$L$132</f>
        <v>192.48230102542936</v>
      </c>
      <c r="M134" s="151"/>
    </row>
  </sheetData>
  <mergeCells count="42">
    <mergeCell ref="E117:F117"/>
    <mergeCell ref="B73:D73"/>
    <mergeCell ref="E73:G73"/>
    <mergeCell ref="H73:J73"/>
    <mergeCell ref="K73:M73"/>
    <mergeCell ref="B72:M72"/>
    <mergeCell ref="F41:G41"/>
    <mergeCell ref="I48:J48"/>
    <mergeCell ref="F33:G33"/>
    <mergeCell ref="I33:J33"/>
    <mergeCell ref="F36:G36"/>
    <mergeCell ref="I36:J36"/>
    <mergeCell ref="F134:G134"/>
    <mergeCell ref="I30:K30"/>
    <mergeCell ref="L31:M31"/>
    <mergeCell ref="F31:H31"/>
    <mergeCell ref="F32:H32"/>
    <mergeCell ref="I32:K32"/>
    <mergeCell ref="L32:M32"/>
    <mergeCell ref="I31:K31"/>
    <mergeCell ref="I41:J41"/>
    <mergeCell ref="F48:G48"/>
    <mergeCell ref="L132:M132"/>
    <mergeCell ref="L133:M133"/>
    <mergeCell ref="H134:I134"/>
    <mergeCell ref="J133:K133"/>
    <mergeCell ref="J134:K134"/>
    <mergeCell ref="L134:M134"/>
    <mergeCell ref="H131:I131"/>
    <mergeCell ref="H132:I132"/>
    <mergeCell ref="H133:I133"/>
    <mergeCell ref="J132:K132"/>
    <mergeCell ref="A134:D134"/>
    <mergeCell ref="A130:D131"/>
    <mergeCell ref="E130:M130"/>
    <mergeCell ref="F131:G131"/>
    <mergeCell ref="F132:G132"/>
    <mergeCell ref="L131:M131"/>
    <mergeCell ref="J131:K131"/>
    <mergeCell ref="A132:D132"/>
    <mergeCell ref="A133:D133"/>
    <mergeCell ref="F133:G133"/>
  </mergeCells>
  <printOptions/>
  <pageMargins left="0.62" right="0.39" top="0.7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130" zoomScaleNormal="130" workbookViewId="0" topLeftCell="A1">
      <selection activeCell="N5" sqref="N5"/>
    </sheetView>
  </sheetViews>
  <sheetFormatPr defaultColWidth="9.00390625" defaultRowHeight="12.75"/>
  <cols>
    <col min="1" max="1" width="9.125" style="112" customWidth="1"/>
    <col min="2" max="2" width="8.875" style="112" customWidth="1"/>
    <col min="3" max="3" width="7.125" style="112" customWidth="1"/>
    <col min="4" max="4" width="7.00390625" style="112" customWidth="1"/>
    <col min="5" max="5" width="8.50390625" style="112" customWidth="1"/>
    <col min="6" max="7" width="6.625" style="112" customWidth="1"/>
    <col min="8" max="8" width="8.375" style="112" customWidth="1"/>
    <col min="9" max="9" width="6.875" style="112" customWidth="1"/>
    <col min="10" max="10" width="7.125" style="112" customWidth="1"/>
    <col min="11" max="11" width="8.375" style="112" customWidth="1"/>
    <col min="12" max="12" width="6.875" style="112" customWidth="1"/>
    <col min="13" max="13" width="7.00390625" style="112" customWidth="1"/>
    <col min="14" max="14" width="6.125" style="112" customWidth="1"/>
    <col min="15" max="19" width="9.125" style="112" customWidth="1"/>
    <col min="20" max="20" width="10.00390625" style="112" bestFit="1" customWidth="1"/>
    <col min="21" max="16384" width="9.125" style="112" customWidth="1"/>
  </cols>
  <sheetData>
    <row r="2" spans="1:13" s="134" customFormat="1" ht="22.5">
      <c r="A2" s="133" t="s">
        <v>145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4" ht="17.25">
      <c r="A4" s="123" t="s">
        <v>11</v>
      </c>
    </row>
    <row r="5" ht="15.75" customHeight="1">
      <c r="B5" s="123" t="s">
        <v>49</v>
      </c>
    </row>
    <row r="6" spans="3:8" ht="18">
      <c r="C6" s="112" t="s">
        <v>77</v>
      </c>
      <c r="G6" s="131">
        <f>'NhapLieu&amp;NDTT'!G6</f>
        <v>30</v>
      </c>
      <c r="H6" s="112" t="s">
        <v>9</v>
      </c>
    </row>
    <row r="7" spans="3:7" ht="17.25">
      <c r="C7" s="112" t="s">
        <v>78</v>
      </c>
      <c r="G7" s="131">
        <f>'NhapLieu&amp;NDTT'!G7</f>
        <v>1.15</v>
      </c>
    </row>
    <row r="8" spans="3:8" ht="17.25">
      <c r="C8" s="112" t="s">
        <v>79</v>
      </c>
      <c r="G8" s="131">
        <f>'NhapLieu&amp;NDTT'!G8</f>
        <v>5</v>
      </c>
      <c r="H8" s="112" t="s">
        <v>17</v>
      </c>
    </row>
    <row r="10" ht="17.25">
      <c r="B10" s="123" t="s">
        <v>12</v>
      </c>
    </row>
    <row r="11" ht="17.25">
      <c r="B11" s="124" t="s">
        <v>13</v>
      </c>
    </row>
    <row r="12" spans="2:3" ht="19.5">
      <c r="B12" s="124"/>
      <c r="C12" s="112" t="s">
        <v>125</v>
      </c>
    </row>
    <row r="13" spans="2:3" ht="19.5">
      <c r="B13" s="124"/>
      <c r="C13" s="112" t="s">
        <v>126</v>
      </c>
    </row>
    <row r="14" spans="2:13" ht="19.5">
      <c r="B14" s="124"/>
      <c r="C14" s="112" t="s">
        <v>127</v>
      </c>
      <c r="L14" s="146" t="s">
        <v>72</v>
      </c>
      <c r="M14" s="125">
        <f>'NhapLieu&amp;NDTT'!M14</f>
        <v>2</v>
      </c>
    </row>
    <row r="15" spans="2:3" ht="17.25">
      <c r="B15" s="124"/>
      <c r="C15" s="112" t="s">
        <v>74</v>
      </c>
    </row>
    <row r="16" spans="3:10" ht="18">
      <c r="C16" s="112" t="s">
        <v>75</v>
      </c>
      <c r="I16" s="112">
        <f>'NhapLieu&amp;NDTT'!I16</f>
        <v>47</v>
      </c>
      <c r="J16" s="112" t="s">
        <v>9</v>
      </c>
    </row>
    <row r="17" spans="3:10" ht="18.75">
      <c r="C17" s="112" t="s">
        <v>141</v>
      </c>
      <c r="I17" s="112">
        <f>'NhapLieu&amp;NDTT'!I17</f>
        <v>3.1</v>
      </c>
      <c r="J17" s="112" t="s">
        <v>39</v>
      </c>
    </row>
    <row r="18" ht="17.25">
      <c r="B18" s="124" t="s">
        <v>140</v>
      </c>
    </row>
    <row r="19" spans="2:13" ht="18.75" customHeight="1">
      <c r="B19" s="124" t="s">
        <v>128</v>
      </c>
      <c r="L19" s="123" t="s">
        <v>72</v>
      </c>
      <c r="M19" s="125">
        <f>'NhapLieu&amp;NDTT'!M19</f>
        <v>1</v>
      </c>
    </row>
    <row r="20" spans="3:10" ht="18.75">
      <c r="C20" s="112" t="s">
        <v>142</v>
      </c>
      <c r="I20" s="112">
        <f>'NhapLieu&amp;NDTT'!I20</f>
        <v>2.61</v>
      </c>
      <c r="J20" s="112" t="s">
        <v>39</v>
      </c>
    </row>
    <row r="21" spans="3:10" ht="18.75">
      <c r="C21" s="112" t="s">
        <v>143</v>
      </c>
      <c r="I21" s="112">
        <f>'NhapLieu&amp;NDTT'!I21</f>
        <v>1430</v>
      </c>
      <c r="J21" s="112" t="s">
        <v>40</v>
      </c>
    </row>
    <row r="22" spans="3:10" ht="17.25">
      <c r="C22" s="112" t="s">
        <v>82</v>
      </c>
      <c r="I22" s="112">
        <f>'NhapLieu&amp;NDTT'!I22</f>
        <v>20</v>
      </c>
      <c r="J22" s="112" t="s">
        <v>10</v>
      </c>
    </row>
    <row r="23" ht="17.25">
      <c r="B23" s="124" t="s">
        <v>14</v>
      </c>
    </row>
    <row r="24" spans="3:10" ht="18.75">
      <c r="C24" s="112" t="s">
        <v>144</v>
      </c>
      <c r="I24" s="126">
        <f>'NhapLieu&amp;NDTT'!I24</f>
        <v>2.65</v>
      </c>
      <c r="J24" s="112" t="s">
        <v>39</v>
      </c>
    </row>
    <row r="25" spans="3:9" ht="18">
      <c r="C25" s="112" t="s">
        <v>84</v>
      </c>
      <c r="I25" s="126">
        <f>'NhapLieu&amp;NDTT'!I25</f>
        <v>2.5</v>
      </c>
    </row>
    <row r="26" spans="3:10" ht="17.25">
      <c r="C26" s="112" t="s">
        <v>85</v>
      </c>
      <c r="I26" s="126">
        <f>'NhapLieu&amp;NDTT'!I26</f>
        <v>0</v>
      </c>
      <c r="J26" s="112" t="s">
        <v>73</v>
      </c>
    </row>
    <row r="27" ht="17.25">
      <c r="B27" s="124" t="s">
        <v>15</v>
      </c>
    </row>
    <row r="28" spans="2:3" ht="17.25">
      <c r="B28" s="124"/>
      <c r="C28" s="112" t="s">
        <v>93</v>
      </c>
    </row>
    <row r="29" s="132" customFormat="1" ht="17.25">
      <c r="A29" s="131" t="s">
        <v>146</v>
      </c>
    </row>
    <row r="30" spans="1:13" ht="17.25" customHeight="1">
      <c r="A30" s="148" t="s">
        <v>133</v>
      </c>
      <c r="B30" s="148"/>
      <c r="C30" s="148"/>
      <c r="D30" s="148"/>
      <c r="E30" s="172" t="s">
        <v>139</v>
      </c>
      <c r="F30" s="173"/>
      <c r="G30" s="173"/>
      <c r="H30" s="173"/>
      <c r="I30" s="173"/>
      <c r="J30" s="173"/>
      <c r="K30" s="173"/>
      <c r="L30" s="173"/>
      <c r="M30" s="174"/>
    </row>
    <row r="31" spans="1:13" ht="18" customHeight="1">
      <c r="A31" s="148"/>
      <c r="B31" s="148"/>
      <c r="C31" s="148"/>
      <c r="D31" s="148"/>
      <c r="E31" s="127" t="s">
        <v>138</v>
      </c>
      <c r="F31" s="170" t="s">
        <v>134</v>
      </c>
      <c r="G31" s="170"/>
      <c r="H31" s="170" t="s">
        <v>135</v>
      </c>
      <c r="I31" s="170"/>
      <c r="J31" s="170" t="s">
        <v>136</v>
      </c>
      <c r="K31" s="170"/>
      <c r="L31" s="170" t="s">
        <v>137</v>
      </c>
      <c r="M31" s="170"/>
    </row>
    <row r="32" spans="1:13" ht="17.25">
      <c r="A32" s="171" t="s">
        <v>130</v>
      </c>
      <c r="B32" s="171"/>
      <c r="C32" s="171"/>
      <c r="D32" s="171"/>
      <c r="E32" s="116"/>
      <c r="F32" s="151">
        <f>'NhapLieu&amp;NDTT'!F132:G132</f>
        <v>424.8230102542937</v>
      </c>
      <c r="G32" s="151"/>
      <c r="H32" s="151">
        <f>'NhapLieu&amp;NDTT'!H132:I132</f>
        <v>573.5742167104106</v>
      </c>
      <c r="I32" s="151"/>
      <c r="J32" s="151">
        <f>'NhapLieu&amp;NDTT'!J132:K132</f>
        <v>1185.031134941066</v>
      </c>
      <c r="K32" s="151"/>
      <c r="L32" s="151">
        <f>'NhapLieu&amp;NDTT'!L132:M132</f>
        <v>192.48230102542936</v>
      </c>
      <c r="M32" s="151"/>
    </row>
    <row r="33" spans="1:13" ht="17.25">
      <c r="A33" s="171" t="s">
        <v>131</v>
      </c>
      <c r="B33" s="171"/>
      <c r="C33" s="171"/>
      <c r="D33" s="171"/>
      <c r="E33" s="116"/>
      <c r="F33" s="151">
        <f>'NhapLieu&amp;NDTT'!F133:G133</f>
        <v>382.34070922886434</v>
      </c>
      <c r="G33" s="151"/>
      <c r="H33" s="151">
        <f>'NhapLieu&amp;NDTT'!H133:I133</f>
        <v>573.5742167104106</v>
      </c>
      <c r="I33" s="151"/>
      <c r="J33" s="151">
        <f>'NhapLieu&amp;NDTT'!J133:K133</f>
        <v>1185.031134941066</v>
      </c>
      <c r="K33" s="151"/>
      <c r="L33" s="151">
        <f>'NhapLieu&amp;NDTT'!L133:M133</f>
        <v>192.48230102542936</v>
      </c>
      <c r="M33" s="151"/>
    </row>
    <row r="34" spans="1:13" ht="17.25">
      <c r="A34" s="171" t="s">
        <v>132</v>
      </c>
      <c r="B34" s="171"/>
      <c r="C34" s="171"/>
      <c r="D34" s="171"/>
      <c r="E34" s="116"/>
      <c r="F34" s="151">
        <f>'NhapLieu&amp;NDTT'!F134:G134</f>
        <v>467.3053112797231</v>
      </c>
      <c r="G34" s="151"/>
      <c r="H34" s="151">
        <f>'NhapLieu&amp;NDTT'!H134:I134</f>
        <v>573.5742167104106</v>
      </c>
      <c r="I34" s="151"/>
      <c r="J34" s="151">
        <f>'NhapLieu&amp;NDTT'!J134:K134</f>
        <v>1185.031134941066</v>
      </c>
      <c r="K34" s="151"/>
      <c r="L34" s="151">
        <f>'NhapLieu&amp;NDTT'!L134:M134</f>
        <v>192.48230102542936</v>
      </c>
      <c r="M34" s="151"/>
    </row>
  </sheetData>
  <mergeCells count="21">
    <mergeCell ref="L33:M33"/>
    <mergeCell ref="H34:I34"/>
    <mergeCell ref="J33:K33"/>
    <mergeCell ref="J34:K34"/>
    <mergeCell ref="L34:M34"/>
    <mergeCell ref="H33:I33"/>
    <mergeCell ref="A33:D33"/>
    <mergeCell ref="F33:G33"/>
    <mergeCell ref="F34:G34"/>
    <mergeCell ref="H32:I32"/>
    <mergeCell ref="A34:D34"/>
    <mergeCell ref="F32:G32"/>
    <mergeCell ref="L31:M31"/>
    <mergeCell ref="J31:K31"/>
    <mergeCell ref="A32:D32"/>
    <mergeCell ref="H31:I31"/>
    <mergeCell ref="A30:D31"/>
    <mergeCell ref="E30:M30"/>
    <mergeCell ref="F31:G31"/>
    <mergeCell ref="L32:M32"/>
    <mergeCell ref="J32:K32"/>
  </mergeCells>
  <printOptions/>
  <pageMargins left="0.75" right="0.5" top="0.7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2010-08-11T03:42:58Z</cp:lastPrinted>
  <dcterms:created xsi:type="dcterms:W3CDTF">2002-01-22T14:38:07Z</dcterms:created>
  <dcterms:modified xsi:type="dcterms:W3CDTF">2013-05-30T07:26:40Z</dcterms:modified>
  <cp:category/>
  <cp:version/>
  <cp:contentType/>
  <cp:contentStatus/>
</cp:coreProperties>
</file>