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6840" tabRatio="608" activeTab="0"/>
  </bookViews>
  <sheets>
    <sheet name="COFFA SÀN" sheetId="1" r:id="rId1"/>
    <sheet name="CFCột" sheetId="2" r:id="rId2"/>
    <sheet name="CFDầm" sheetId="3" r:id="rId3"/>
    <sheet name="CFMóng" sheetId="4" state="hidden" r:id="rId4"/>
    <sheet name="Data" sheetId="5" state="hidden" r:id="rId5"/>
    <sheet name="ThểTích Đào Đắp Móng" sheetId="6" state="hidden" r:id="rId6"/>
  </sheets>
  <externalReferences>
    <externalReference r:id="rId9"/>
  </externalReferences>
  <definedNames>
    <definedName name="A">'Data'!$C$157:$E$158</definedName>
    <definedName name="CT">'[1]Data'!$A$27:$C$31</definedName>
    <definedName name="dt">'Data'!$A$5:$N$45</definedName>
    <definedName name="N">'Data'!#REF!</definedName>
    <definedName name="T">'Data'!$C$154:$E$155</definedName>
  </definedNames>
  <calcPr fullCalcOnLoad="1"/>
</workbook>
</file>

<file path=xl/sharedStrings.xml><?xml version="1.0" encoding="utf-8"?>
<sst xmlns="http://schemas.openxmlformats.org/spreadsheetml/2006/main" count="679" uniqueCount="378">
  <si>
    <t xml:space="preserve"> 1. Số liệu tính toán ban đầu</t>
  </si>
  <si>
    <t>Bề rộng dầm</t>
  </si>
  <si>
    <t>Lực động do đổ BT vào ván khuôn :</t>
  </si>
  <si>
    <t xml:space="preserve">Trọng lượng do người đứng trên: </t>
  </si>
  <si>
    <t>Trọng lượng do xe vận chuyển và cầu công tác:</t>
  </si>
  <si>
    <t>Lực do dầm máy:</t>
  </si>
  <si>
    <t>Lực do đầm tay:</t>
  </si>
  <si>
    <t xml:space="preserve">         Hoạt tải</t>
  </si>
  <si>
    <t xml:space="preserve">         Tỉnh Tải</t>
  </si>
  <si>
    <t>BTCT</t>
  </si>
  <si>
    <t>Dày sàn</t>
  </si>
  <si>
    <t>kg/cm2</t>
  </si>
  <si>
    <t>Rộng</t>
  </si>
  <si>
    <t>Dày</t>
  </si>
  <si>
    <t>m</t>
  </si>
  <si>
    <r>
      <t>kg/m</t>
    </r>
    <r>
      <rPr>
        <vertAlign val="superscript"/>
        <sz val="12"/>
        <color indexed="12"/>
        <rFont val="Times New Roman"/>
        <family val="1"/>
      </rPr>
      <t>2</t>
    </r>
  </si>
  <si>
    <t>2.Nhập Kích Thước Các Tiết Diện:</t>
  </si>
  <si>
    <t xml:space="preserve">        1. ván coffa</t>
  </si>
  <si>
    <t xml:space="preserve">        4. Gỗ (Tiết Diện)Sườn Cột Chống:</t>
  </si>
  <si>
    <t xml:space="preserve">        3. Gỗ (Tiết Diện) Sườn Dọc:</t>
  </si>
  <si>
    <t xml:space="preserve">        2. Gỗ (Tiết Diện)  Sườn Ngang:</t>
  </si>
  <si>
    <t>Cao</t>
  </si>
  <si>
    <t>Tải TC</t>
  </si>
  <si>
    <t>n</t>
  </si>
  <si>
    <t>3.Tính Toán Các Khoảng Cách SN &amp;SD &amp; Cột Chống đối với sàn :</t>
  </si>
  <si>
    <t>Tổng Tải trọng trên 1m dài: ứng với bề rộng ván sàn đã chọn.</t>
  </si>
  <si>
    <t>kg/m dài</t>
  </si>
  <si>
    <t>L</t>
  </si>
  <si>
    <t>Lo</t>
  </si>
  <si>
    <t>kg</t>
  </si>
  <si>
    <t>kg/m</t>
  </si>
  <si>
    <t>Đường Kính Tiết Diện</t>
  </si>
  <si>
    <t>I          =</t>
  </si>
  <si>
    <r>
      <t>C</t>
    </r>
    <r>
      <rPr>
        <sz val="16"/>
        <color indexed="12"/>
        <rFont val="Arial"/>
        <family val="2"/>
      </rPr>
      <t>O</t>
    </r>
    <r>
      <rPr>
        <sz val="16"/>
        <color indexed="54"/>
        <rFont val="Arial"/>
        <family val="2"/>
      </rPr>
      <t>F</t>
    </r>
    <r>
      <rPr>
        <sz val="16"/>
        <color indexed="15"/>
        <rFont val="Arial"/>
        <family val="2"/>
      </rPr>
      <t>F</t>
    </r>
    <r>
      <rPr>
        <sz val="16"/>
        <color indexed="14"/>
        <rFont val="Arial"/>
        <family val="0"/>
      </rPr>
      <t xml:space="preserve">A </t>
    </r>
    <r>
      <rPr>
        <sz val="16"/>
        <color indexed="10"/>
        <rFont val="Arial"/>
        <family val="2"/>
      </rPr>
      <t>D</t>
    </r>
    <r>
      <rPr>
        <sz val="16"/>
        <color indexed="58"/>
        <rFont val="Arial"/>
        <family val="2"/>
      </rPr>
      <t>Ầ</t>
    </r>
    <r>
      <rPr>
        <sz val="16"/>
        <color indexed="17"/>
        <rFont val="Arial"/>
        <family val="2"/>
      </rPr>
      <t xml:space="preserve">M </t>
    </r>
  </si>
  <si>
    <t>Nhập các số liệu ban đầu:</t>
  </si>
  <si>
    <t>sồ lượng dầm :</t>
  </si>
  <si>
    <t>Tiết diện dầm :</t>
  </si>
  <si>
    <t>b3</t>
  </si>
  <si>
    <t>h3</t>
  </si>
  <si>
    <t>b4</t>
  </si>
  <si>
    <t>h4</t>
  </si>
  <si>
    <t>b5</t>
  </si>
  <si>
    <t>h5</t>
  </si>
  <si>
    <t>b6</t>
  </si>
  <si>
    <t>h6</t>
  </si>
  <si>
    <t>b7</t>
  </si>
  <si>
    <t>h7</t>
  </si>
  <si>
    <t>b8</t>
  </si>
  <si>
    <t>h8</t>
  </si>
  <si>
    <t>b9</t>
  </si>
  <si>
    <t>h9</t>
  </si>
  <si>
    <t>b10</t>
  </si>
  <si>
    <t>h10</t>
  </si>
  <si>
    <t>Dầm</t>
  </si>
  <si>
    <t>mm</t>
  </si>
  <si>
    <t>Tính theo sđ dầm đơn giản ta có Lsn :</t>
  </si>
  <si>
    <t>Tính theo sđ dầm đơn giản ta có Lsd :</t>
  </si>
  <si>
    <r>
      <t xml:space="preserve">        </t>
    </r>
    <r>
      <rPr>
        <b/>
        <sz val="10"/>
        <color indexed="14"/>
        <rFont val="Times New Roman"/>
        <family val="1"/>
      </rPr>
      <t xml:space="preserve"> Diện tích</t>
    </r>
  </si>
  <si>
    <r>
      <t xml:space="preserve">      </t>
    </r>
    <r>
      <rPr>
        <b/>
        <sz val="10"/>
        <color indexed="14"/>
        <rFont val="Times New Roman"/>
        <family val="1"/>
      </rPr>
      <t xml:space="preserve">   Hoạt tải</t>
    </r>
  </si>
  <si>
    <r>
      <t xml:space="preserve">f      </t>
    </r>
    <r>
      <rPr>
        <b/>
        <sz val="12"/>
        <color indexed="12"/>
        <rFont val="Times New Roman"/>
        <family val="1"/>
      </rPr>
      <t xml:space="preserve"> </t>
    </r>
  </si>
  <si>
    <r>
      <t>m</t>
    </r>
    <r>
      <rPr>
        <vertAlign val="superscript"/>
        <sz val="12"/>
        <color indexed="12"/>
        <rFont val="Times New Roman"/>
        <family val="1"/>
      </rPr>
      <t>2</t>
    </r>
  </si>
  <si>
    <r>
      <t xml:space="preserve"> </t>
    </r>
    <r>
      <rPr>
        <sz val="12"/>
        <color indexed="12"/>
        <rFont val="Symbol"/>
        <family val="1"/>
      </rPr>
      <t xml:space="preserve">l  </t>
    </r>
    <r>
      <rPr>
        <sz val="12"/>
        <color indexed="12"/>
        <rFont val="Times New Roman"/>
        <family val="1"/>
      </rPr>
      <t xml:space="preserve">      =</t>
    </r>
  </si>
  <si>
    <r>
      <t>b</t>
    </r>
    <r>
      <rPr>
        <vertAlign val="subscript"/>
        <sz val="12"/>
        <color indexed="12"/>
        <rFont val="Arial"/>
        <family val="2"/>
      </rPr>
      <t>1</t>
    </r>
  </si>
  <si>
    <r>
      <t>h</t>
    </r>
    <r>
      <rPr>
        <vertAlign val="subscript"/>
        <sz val="12"/>
        <color indexed="12"/>
        <rFont val="Arial"/>
        <family val="2"/>
      </rPr>
      <t>1</t>
    </r>
  </si>
  <si>
    <r>
      <t>b</t>
    </r>
    <r>
      <rPr>
        <vertAlign val="subscript"/>
        <sz val="12"/>
        <color indexed="12"/>
        <rFont val="Arial"/>
        <family val="2"/>
      </rPr>
      <t>2</t>
    </r>
  </si>
  <si>
    <r>
      <t>h</t>
    </r>
    <r>
      <rPr>
        <vertAlign val="subscript"/>
        <sz val="12"/>
        <color indexed="12"/>
        <rFont val="Arial"/>
        <family val="2"/>
      </rPr>
      <t>2</t>
    </r>
  </si>
  <si>
    <r>
      <t>L</t>
    </r>
    <r>
      <rPr>
        <vertAlign val="subscript"/>
        <sz val="12"/>
        <color indexed="12"/>
        <rFont val="Arial"/>
        <family val="2"/>
      </rPr>
      <t>dầm</t>
    </r>
    <r>
      <rPr>
        <sz val="12"/>
        <color indexed="12"/>
        <rFont val="Arial"/>
        <family val="2"/>
      </rPr>
      <t>(m)</t>
    </r>
  </si>
  <si>
    <r>
      <t>S /</t>
    </r>
    <r>
      <rPr>
        <sz val="12"/>
        <color indexed="12"/>
        <rFont val="Times New Roman"/>
        <family val="1"/>
      </rPr>
      <t>1m</t>
    </r>
    <r>
      <rPr>
        <vertAlign val="superscript"/>
        <sz val="12"/>
        <color indexed="12"/>
        <rFont val="Times New Roman"/>
        <family val="1"/>
      </rPr>
      <t>2</t>
    </r>
  </si>
  <si>
    <r>
      <t>L</t>
    </r>
    <r>
      <rPr>
        <b/>
        <vertAlign val="subscript"/>
        <sz val="12"/>
        <color indexed="12"/>
        <rFont val="Times New Roman"/>
        <family val="1"/>
      </rPr>
      <t>1</t>
    </r>
    <r>
      <rPr>
        <b/>
        <sz val="12"/>
        <color indexed="12"/>
        <rFont val="Times New Roman"/>
        <family val="1"/>
      </rPr>
      <t xml:space="preserve"> =</t>
    </r>
  </si>
  <si>
    <r>
      <t>L</t>
    </r>
    <r>
      <rPr>
        <b/>
        <vertAlign val="subscript"/>
        <sz val="12"/>
        <color indexed="12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=</t>
    </r>
  </si>
  <si>
    <r>
      <t>d</t>
    </r>
    <r>
      <rPr>
        <b/>
        <sz val="12"/>
        <color indexed="12"/>
        <rFont val="Times New Roman"/>
        <family val="1"/>
      </rPr>
      <t>s =</t>
    </r>
  </si>
  <si>
    <r>
      <t>b</t>
    </r>
    <r>
      <rPr>
        <b/>
        <vertAlign val="subscript"/>
        <sz val="12"/>
        <color indexed="12"/>
        <rFont val="Times New Roman"/>
        <family val="1"/>
      </rPr>
      <t>1</t>
    </r>
    <r>
      <rPr>
        <b/>
        <sz val="12"/>
        <color indexed="12"/>
        <rFont val="Times New Roman"/>
        <family val="1"/>
      </rPr>
      <t xml:space="preserve"> =</t>
    </r>
  </si>
  <si>
    <r>
      <t>b</t>
    </r>
    <r>
      <rPr>
        <b/>
        <vertAlign val="subscript"/>
        <sz val="12"/>
        <color indexed="12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=</t>
    </r>
  </si>
  <si>
    <r>
      <t>b</t>
    </r>
    <r>
      <rPr>
        <b/>
        <vertAlign val="subscript"/>
        <sz val="12"/>
        <color indexed="12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=</t>
    </r>
  </si>
  <si>
    <r>
      <t>b</t>
    </r>
    <r>
      <rPr>
        <b/>
        <vertAlign val="subscript"/>
        <sz val="12"/>
        <color indexed="12"/>
        <rFont val="Times New Roman"/>
        <family val="1"/>
      </rPr>
      <t>4</t>
    </r>
    <r>
      <rPr>
        <b/>
        <sz val="12"/>
        <color indexed="12"/>
        <rFont val="Times New Roman"/>
        <family val="1"/>
      </rPr>
      <t xml:space="preserve"> =</t>
    </r>
  </si>
  <si>
    <r>
      <t>S /</t>
    </r>
    <r>
      <rPr>
        <sz val="12"/>
        <color indexed="12"/>
        <rFont val="Times New Roman"/>
        <family val="1"/>
      </rPr>
      <t>1m dài</t>
    </r>
  </si>
  <si>
    <r>
      <t>Chọn Lại L</t>
    </r>
    <r>
      <rPr>
        <vertAlign val="subscript"/>
        <sz val="12"/>
        <color indexed="10"/>
        <rFont val="Arial"/>
        <family val="0"/>
      </rPr>
      <t>SN</t>
    </r>
    <r>
      <rPr>
        <sz val="12"/>
        <color indexed="10"/>
        <rFont val="Arial"/>
        <family val="0"/>
      </rPr>
      <t>(m)</t>
    </r>
  </si>
  <si>
    <r>
      <t xml:space="preserve">Giải thích </t>
    </r>
    <r>
      <rPr>
        <sz val="12"/>
        <color indexed="12"/>
        <rFont val="Times New Roman"/>
        <family val="1"/>
      </rPr>
      <t xml:space="preserve">: </t>
    </r>
    <r>
      <rPr>
        <sz val="12"/>
        <color indexed="20"/>
        <rFont val="Times New Roman"/>
        <family val="1"/>
      </rPr>
      <t>Một ô sàn giới hạn bởi  4 Dầm(kể cả Dầm môi).</t>
    </r>
  </si>
  <si>
    <t>Chính là  Khoảng cách lọt lòng</t>
  </si>
  <si>
    <t>Tình diện tích coffa =Tính khoảng cách phủ bì trừ đi 1/2 các dầm.)</t>
  </si>
  <si>
    <t>L1</t>
  </si>
  <si>
    <t>L2</t>
  </si>
  <si>
    <t>Bề  dày sàn:</t>
  </si>
  <si>
    <t>Bề rộng  dầm:</t>
  </si>
  <si>
    <t>Ss</t>
  </si>
  <si>
    <t>Ls1</t>
  </si>
  <si>
    <t>Ls2</t>
  </si>
  <si>
    <t>bv</t>
  </si>
  <si>
    <t>hv</t>
  </si>
  <si>
    <t>Chiều cao ván</t>
  </si>
  <si>
    <t>Bề rộng ván sàn</t>
  </si>
  <si>
    <t>KT sườn ngang</t>
  </si>
  <si>
    <t>KTSườn Dọc</t>
  </si>
  <si>
    <t>ĐKính cột chống</t>
  </si>
  <si>
    <t>Chiều cao cột chống</t>
  </si>
  <si>
    <t>Ứng Sức cho phép of gỗ</t>
  </si>
  <si>
    <t>Ứng suất cho phép of gỗ :</t>
  </si>
  <si>
    <r>
      <t>Kg/cm</t>
    </r>
    <r>
      <rPr>
        <vertAlign val="superscript"/>
        <sz val="12"/>
        <color indexed="12"/>
        <rFont val="Times New Roman"/>
        <family val="1"/>
      </rPr>
      <t>2</t>
    </r>
  </si>
  <si>
    <t>Khoảng cách sườn ngang  (m)</t>
  </si>
  <si>
    <t>Chọn lại Lsn :</t>
  </si>
  <si>
    <t>Trọng Lượng gỗ</t>
  </si>
  <si>
    <t>Trọng Lượng Đơn vị một số loại gỗ:</t>
  </si>
  <si>
    <t>Khoảng cách cột chống (m)</t>
  </si>
  <si>
    <t>Chọn  Lại Lsd :</t>
  </si>
  <si>
    <t>Chọn Lcc :</t>
  </si>
  <si>
    <t>Khoảng cách Sườn Dọc (m)</t>
  </si>
  <si>
    <r>
      <t>B</t>
    </r>
    <r>
      <rPr>
        <b/>
        <sz val="18"/>
        <color indexed="14"/>
        <rFont val="Times New Roman"/>
        <family val="1"/>
      </rPr>
      <t>Ả</t>
    </r>
    <r>
      <rPr>
        <b/>
        <sz val="18"/>
        <color indexed="57"/>
        <rFont val="Times New Roman"/>
        <family val="1"/>
      </rPr>
      <t>N</t>
    </r>
    <r>
      <rPr>
        <b/>
        <sz val="18"/>
        <color indexed="53"/>
        <rFont val="Times New Roman"/>
        <family val="1"/>
      </rPr>
      <t>G</t>
    </r>
    <r>
      <rPr>
        <b/>
        <sz val="18"/>
        <color indexed="12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>T</t>
    </r>
    <r>
      <rPr>
        <b/>
        <sz val="18"/>
        <color indexed="16"/>
        <rFont val="Times New Roman"/>
        <family val="1"/>
      </rPr>
      <t>Í</t>
    </r>
    <r>
      <rPr>
        <b/>
        <sz val="18"/>
        <color indexed="48"/>
        <rFont val="Times New Roman"/>
        <family val="1"/>
      </rPr>
      <t>N</t>
    </r>
    <r>
      <rPr>
        <b/>
        <sz val="18"/>
        <color indexed="23"/>
        <rFont val="Times New Roman"/>
        <family val="1"/>
      </rPr>
      <t>H</t>
    </r>
    <r>
      <rPr>
        <b/>
        <sz val="18"/>
        <color indexed="12"/>
        <rFont val="Times New Roman"/>
        <family val="1"/>
      </rPr>
      <t xml:space="preserve"> C</t>
    </r>
    <r>
      <rPr>
        <b/>
        <sz val="18"/>
        <color indexed="51"/>
        <rFont val="Times New Roman"/>
        <family val="1"/>
      </rPr>
      <t>O</t>
    </r>
    <r>
      <rPr>
        <b/>
        <sz val="18"/>
        <color indexed="61"/>
        <rFont val="Times New Roman"/>
        <family val="1"/>
      </rPr>
      <t>F</t>
    </r>
    <r>
      <rPr>
        <b/>
        <sz val="18"/>
        <color indexed="54"/>
        <rFont val="Times New Roman"/>
        <family val="1"/>
      </rPr>
      <t>F</t>
    </r>
    <r>
      <rPr>
        <b/>
        <sz val="18"/>
        <color indexed="60"/>
        <rFont val="Times New Roman"/>
        <family val="1"/>
      </rPr>
      <t>A</t>
    </r>
    <r>
      <rPr>
        <b/>
        <sz val="18"/>
        <color indexed="12"/>
        <rFont val="Times New Roman"/>
        <family val="1"/>
      </rPr>
      <t xml:space="preserve"> </t>
    </r>
    <r>
      <rPr>
        <b/>
        <sz val="18"/>
        <color indexed="49"/>
        <rFont val="Times New Roman"/>
        <family val="1"/>
      </rPr>
      <t>S</t>
    </r>
    <r>
      <rPr>
        <b/>
        <sz val="18"/>
        <color indexed="56"/>
        <rFont val="Times New Roman"/>
        <family val="1"/>
      </rPr>
      <t>À</t>
    </r>
    <r>
      <rPr>
        <b/>
        <sz val="18"/>
        <color indexed="15"/>
        <rFont val="Times New Roman"/>
        <family val="1"/>
      </rPr>
      <t xml:space="preserve">N </t>
    </r>
    <r>
      <rPr>
        <b/>
        <sz val="18"/>
        <color indexed="12"/>
        <rFont val="Times New Roman"/>
        <family val="1"/>
      </rPr>
      <t>B</t>
    </r>
    <r>
      <rPr>
        <b/>
        <sz val="18"/>
        <color indexed="16"/>
        <rFont val="Times New Roman"/>
        <family val="1"/>
      </rPr>
      <t>T</t>
    </r>
    <r>
      <rPr>
        <b/>
        <sz val="18"/>
        <color indexed="14"/>
        <rFont val="Times New Roman"/>
        <family val="1"/>
      </rPr>
      <t>C</t>
    </r>
    <r>
      <rPr>
        <b/>
        <sz val="18"/>
        <color indexed="63"/>
        <rFont val="Times New Roman"/>
        <family val="1"/>
      </rPr>
      <t>T</t>
    </r>
  </si>
  <si>
    <t>Trọng lgdo xe vận chuyển&amp;cầu công tác:</t>
  </si>
  <si>
    <r>
      <t xml:space="preserve">The End </t>
    </r>
    <r>
      <rPr>
        <b/>
        <u val="single"/>
        <sz val="10"/>
        <color indexed="10"/>
        <rFont val="Arial"/>
        <family val="2"/>
      </rPr>
      <t>COFFA</t>
    </r>
    <r>
      <rPr>
        <b/>
        <u val="single"/>
        <sz val="10"/>
        <color indexed="12"/>
        <rFont val="Arial"/>
        <family val="2"/>
      </rPr>
      <t xml:space="preserve"> sàn</t>
    </r>
  </si>
  <si>
    <r>
      <t>Design by:</t>
    </r>
    <r>
      <rPr>
        <sz val="11"/>
        <color indexed="14"/>
        <rFont val="Times New Roman"/>
        <family val="1"/>
      </rPr>
      <t xml:space="preserve"> </t>
    </r>
    <r>
      <rPr>
        <b/>
        <sz val="11"/>
        <color indexed="14"/>
        <rFont val="Times New Roman"/>
        <family val="1"/>
      </rPr>
      <t xml:space="preserve">Mai Khoa Nam </t>
    </r>
    <r>
      <rPr>
        <b/>
        <sz val="11"/>
        <color indexed="12"/>
        <rFont val="Times New Roman"/>
        <family val="1"/>
      </rPr>
      <t>&amp;</t>
    </r>
    <r>
      <rPr>
        <b/>
        <sz val="11"/>
        <color indexed="14"/>
        <rFont val="Times New Roman"/>
        <family val="1"/>
      </rPr>
      <t xml:space="preserve"> Dương Hoàng Hân</t>
    </r>
  </si>
  <si>
    <t>Không Nên Vào Sheet Data vì đây là dữ liệu quan trọng of các hàm tính toán!</t>
  </si>
  <si>
    <t>Trọng lượng bản thân ván :</t>
  </si>
  <si>
    <t>Nội suy:</t>
  </si>
  <si>
    <t>Khoảng trước nó:</t>
  </si>
  <si>
    <t>j</t>
  </si>
  <si>
    <t>l</t>
  </si>
  <si>
    <r>
      <t xml:space="preserve">Khoảng Giữa </t>
    </r>
    <r>
      <rPr>
        <sz val="10"/>
        <color indexed="12"/>
        <rFont val="Symbol"/>
        <family val="1"/>
      </rPr>
      <t>l</t>
    </r>
    <r>
      <rPr>
        <sz val="10"/>
        <color indexed="12"/>
        <rFont val="Times New Roman"/>
        <family val="1"/>
      </rPr>
      <t xml:space="preserve"> :</t>
    </r>
  </si>
  <si>
    <t>Trọng Lượng gỗ làm cột chống:</t>
  </si>
  <si>
    <r>
      <t>Kg/m</t>
    </r>
    <r>
      <rPr>
        <vertAlign val="superscript"/>
        <sz val="10"/>
        <color indexed="12"/>
        <rFont val="Times New Roman"/>
        <family val="1"/>
      </rPr>
      <t>3</t>
    </r>
  </si>
  <si>
    <r>
      <t>kg/m</t>
    </r>
    <r>
      <rPr>
        <vertAlign val="superscript"/>
        <sz val="12"/>
        <color indexed="12"/>
        <rFont val="Times New Roman"/>
        <family val="1"/>
      </rPr>
      <t>3</t>
    </r>
  </si>
  <si>
    <r>
      <t>Ứng suất cho Phép gỗ làm cột chống:[</t>
    </r>
    <r>
      <rPr>
        <sz val="12"/>
        <color indexed="12"/>
        <rFont val="Symbol"/>
        <family val="1"/>
      </rPr>
      <t></t>
    </r>
    <r>
      <rPr>
        <sz val="12"/>
        <color indexed="12"/>
        <rFont val="Times New Roman"/>
        <family val="1"/>
      </rPr>
      <t xml:space="preserve"> ] :</t>
    </r>
  </si>
  <si>
    <r>
      <t>kg/cm</t>
    </r>
    <r>
      <rPr>
        <vertAlign val="superscript"/>
        <sz val="12"/>
        <color indexed="12"/>
        <rFont val="Times New Roman"/>
        <family val="1"/>
      </rPr>
      <t>2</t>
    </r>
  </si>
  <si>
    <r>
      <t>So sánh [</t>
    </r>
    <r>
      <rPr>
        <sz val="10"/>
        <color indexed="14"/>
        <rFont val="Symbol"/>
        <family val="1"/>
      </rPr>
      <t>s</t>
    </r>
    <r>
      <rPr>
        <sz val="10"/>
        <color indexed="14"/>
        <rFont val="Times New Roman"/>
        <family val="1"/>
      </rPr>
      <t>] :</t>
    </r>
  </si>
  <si>
    <t>Lấy tiết diện cột với giá trị đầu</t>
  </si>
  <si>
    <r>
      <t>[</t>
    </r>
    <r>
      <rPr>
        <sz val="12"/>
        <color indexed="12"/>
        <rFont val="Symbol"/>
        <family val="1"/>
      </rPr>
      <t>s</t>
    </r>
    <r>
      <rPr>
        <sz val="12"/>
        <color indexed="12"/>
        <rFont val="Times New Roman"/>
        <family val="1"/>
      </rPr>
      <t>] &gt;</t>
    </r>
    <r>
      <rPr>
        <sz val="12"/>
        <color indexed="12"/>
        <rFont val="Symbol"/>
        <family val="1"/>
      </rPr>
      <t>s</t>
    </r>
  </si>
  <si>
    <r>
      <t>[</t>
    </r>
    <r>
      <rPr>
        <sz val="12"/>
        <color indexed="12"/>
        <rFont val="Symbol"/>
        <family val="1"/>
      </rPr>
      <t>s</t>
    </r>
    <r>
      <rPr>
        <sz val="12"/>
        <color indexed="12"/>
        <rFont val="Times New Roman"/>
        <family val="1"/>
      </rPr>
      <t>] &lt;</t>
    </r>
    <r>
      <rPr>
        <sz val="12"/>
        <color indexed="12"/>
        <rFont val="Symbol"/>
        <family val="1"/>
      </rPr>
      <t>s</t>
    </r>
  </si>
  <si>
    <t>Làm lại tăng Kt tiết diện</t>
  </si>
  <si>
    <t>Kết quả:</t>
  </si>
  <si>
    <t>4.Kiểm tra độ võng:</t>
  </si>
  <si>
    <t>[f] =3Lcc/1000</t>
  </si>
  <si>
    <t>cm</t>
  </si>
  <si>
    <t>f max =</t>
  </si>
  <si>
    <t>So sánh</t>
  </si>
  <si>
    <t>[f] &gt; f</t>
  </si>
  <si>
    <t>Thoả</t>
  </si>
  <si>
    <t>[f] &lt; f</t>
  </si>
  <si>
    <t>Ko Thoả</t>
  </si>
  <si>
    <r>
      <t>cm</t>
    </r>
    <r>
      <rPr>
        <vertAlign val="superscript"/>
        <sz val="12"/>
        <color indexed="12"/>
        <rFont val="Times New Roman"/>
        <family val="1"/>
      </rPr>
      <t>4</t>
    </r>
  </si>
  <si>
    <t>Ktra  cho Sườn dọc !Các Sườn ngang &amp; Ván đã thoả vì chọn khoảng cách nhỏ hơn giá trị tính!</t>
  </si>
  <si>
    <r>
      <t>j</t>
    </r>
    <r>
      <rPr>
        <sz val="12"/>
        <color indexed="12"/>
        <rFont val="Times New Roman"/>
        <family val="1"/>
      </rPr>
      <t>t</t>
    </r>
  </si>
  <si>
    <r>
      <t>j</t>
    </r>
    <r>
      <rPr>
        <sz val="12"/>
        <color indexed="12"/>
        <rFont val="Times New Roman"/>
        <family val="1"/>
      </rPr>
      <t>s</t>
    </r>
  </si>
  <si>
    <r>
      <t xml:space="preserve">Bảng tra hệ số dùng </t>
    </r>
    <r>
      <rPr>
        <sz val="10"/>
        <color indexed="12"/>
        <rFont val="Symbol"/>
        <family val="1"/>
      </rPr>
      <t>j</t>
    </r>
    <r>
      <rPr>
        <sz val="10"/>
        <color indexed="12"/>
        <rFont val="Arial"/>
        <family val="0"/>
      </rPr>
      <t xml:space="preserve"> cho Gỗ</t>
    </r>
  </si>
  <si>
    <r>
      <t>C</t>
    </r>
    <r>
      <rPr>
        <b/>
        <sz val="18"/>
        <color indexed="10"/>
        <rFont val="Arial"/>
        <family val="2"/>
      </rPr>
      <t>O</t>
    </r>
    <r>
      <rPr>
        <b/>
        <sz val="18"/>
        <color indexed="17"/>
        <rFont val="Arial"/>
        <family val="2"/>
      </rPr>
      <t>F</t>
    </r>
    <r>
      <rPr>
        <b/>
        <sz val="18"/>
        <color indexed="14"/>
        <rFont val="Arial"/>
        <family val="2"/>
      </rPr>
      <t>F</t>
    </r>
    <r>
      <rPr>
        <b/>
        <sz val="18"/>
        <color indexed="62"/>
        <rFont val="Arial"/>
        <family val="2"/>
      </rPr>
      <t>A</t>
    </r>
    <r>
      <rPr>
        <b/>
        <sz val="18"/>
        <color indexed="12"/>
        <rFont val="Arial"/>
        <family val="2"/>
      </rPr>
      <t xml:space="preserve"> </t>
    </r>
    <r>
      <rPr>
        <b/>
        <sz val="18"/>
        <color indexed="60"/>
        <rFont val="Arial"/>
        <family val="2"/>
      </rPr>
      <t>C</t>
    </r>
    <r>
      <rPr>
        <b/>
        <sz val="18"/>
        <color indexed="45"/>
        <rFont val="Arial"/>
        <family val="2"/>
      </rPr>
      <t>Ộ</t>
    </r>
    <r>
      <rPr>
        <b/>
        <sz val="18"/>
        <color indexed="18"/>
        <rFont val="Arial"/>
        <family val="2"/>
      </rPr>
      <t>T</t>
    </r>
  </si>
  <si>
    <t>Tiết diện cột</t>
  </si>
  <si>
    <t>1 Các lựa chọn số liệu ban đầu.</t>
  </si>
  <si>
    <r>
      <t>Kg/m</t>
    </r>
    <r>
      <rPr>
        <sz val="10"/>
        <color indexed="12"/>
        <rFont val="Arial"/>
        <family val="2"/>
      </rPr>
      <t>3</t>
    </r>
  </si>
  <si>
    <t xml:space="preserve"> Cột</t>
  </si>
  <si>
    <t>Tiết diện cột:</t>
  </si>
  <si>
    <t>b</t>
  </si>
  <si>
    <t xml:space="preserve"> </t>
  </si>
  <si>
    <t>a1=</t>
  </si>
  <si>
    <t>b1=</t>
  </si>
  <si>
    <t>cột</t>
  </si>
  <si>
    <t>Tải trọng do đổ BTông vào ván khuôn:</t>
  </si>
  <si>
    <t>Lượng Bêtông &lt;200</t>
  </si>
  <si>
    <t>Lượng BT đổ&lt;[200-700]</t>
  </si>
  <si>
    <t>kg/m2</t>
  </si>
  <si>
    <t>Pđ   =</t>
  </si>
  <si>
    <r>
      <t>Tiếtdiệncột chống</t>
    </r>
    <r>
      <rPr>
        <vertAlign val="subscript"/>
        <sz val="12"/>
        <color indexed="12"/>
        <rFont val="Times New Roman"/>
        <family val="1"/>
      </rPr>
      <t xml:space="preserve"> </t>
    </r>
    <r>
      <rPr>
        <sz val="12"/>
        <color indexed="12"/>
        <rFont val="Symbol"/>
        <family val="1"/>
      </rPr>
      <t xml:space="preserve">f  </t>
    </r>
    <r>
      <rPr>
        <sz val="12"/>
        <color indexed="12"/>
        <rFont val="Times New Roman"/>
        <family val="1"/>
      </rPr>
      <t xml:space="preserve">      =</t>
    </r>
  </si>
  <si>
    <t>(Lấy Nhỏ Hơn giá trị tính)</t>
  </si>
  <si>
    <t>STT</t>
  </si>
  <si>
    <t>Loại Hình</t>
  </si>
  <si>
    <t>Khả năng chịu lực dọc truc thanh N của cây chống :</t>
  </si>
  <si>
    <t>5.Kết quả cuối cùng:</t>
  </si>
  <si>
    <t>Tổng hoạt tải tính toán Ps</t>
  </si>
  <si>
    <t>Ps+ gs + TLbảnthân ván sàn</t>
  </si>
  <si>
    <t>Chiều dài ô sàn</t>
  </si>
  <si>
    <r>
      <t>d</t>
    </r>
    <r>
      <rPr>
        <sz val="12"/>
        <color indexed="12"/>
        <rFont val="Times New Roman"/>
        <family val="1"/>
      </rPr>
      <t>s(m)</t>
    </r>
  </si>
  <si>
    <r>
      <t>g</t>
    </r>
    <r>
      <rPr>
        <vertAlign val="subscript"/>
        <sz val="12"/>
        <color indexed="12"/>
        <rFont val="Times New Roman"/>
        <family val="1"/>
      </rPr>
      <t>bt</t>
    </r>
    <r>
      <rPr>
        <sz val="12"/>
        <color indexed="12"/>
        <rFont val="Times New Roman"/>
        <family val="1"/>
      </rPr>
      <t>kg/m</t>
    </r>
    <r>
      <rPr>
        <vertAlign val="superscript"/>
        <sz val="12"/>
        <color indexed="12"/>
        <rFont val="Times New Roman"/>
        <family val="1"/>
      </rPr>
      <t>3</t>
    </r>
  </si>
  <si>
    <r>
      <t>g</t>
    </r>
    <r>
      <rPr>
        <vertAlign val="subscript"/>
        <sz val="10"/>
        <color indexed="12"/>
        <rFont val="Times New Roman"/>
        <family val="1"/>
      </rPr>
      <t>s</t>
    </r>
    <r>
      <rPr>
        <vertAlign val="superscript"/>
        <sz val="10"/>
        <color indexed="12"/>
        <rFont val="Times New Roman"/>
        <family val="1"/>
      </rPr>
      <t>tt</t>
    </r>
    <r>
      <rPr>
        <sz val="10"/>
        <color indexed="12"/>
        <rFont val="Times New Roman"/>
        <family val="1"/>
      </rPr>
      <t>(kg/m</t>
    </r>
    <r>
      <rPr>
        <vertAlign val="superscript"/>
        <sz val="10"/>
        <color indexed="12"/>
        <rFont val="Times New Roman"/>
        <family val="1"/>
      </rPr>
      <t>2</t>
    </r>
    <r>
      <rPr>
        <sz val="10"/>
        <color indexed="12"/>
        <rFont val="Times New Roman"/>
        <family val="1"/>
      </rPr>
      <t>)</t>
    </r>
  </si>
  <si>
    <r>
      <t>Ps</t>
    </r>
    <r>
      <rPr>
        <vertAlign val="superscript"/>
        <sz val="10"/>
        <color indexed="12"/>
        <rFont val="Times New Roman"/>
        <family val="1"/>
      </rPr>
      <t>tt</t>
    </r>
  </si>
  <si>
    <r>
      <t>kg/m</t>
    </r>
    <r>
      <rPr>
        <vertAlign val="superscript"/>
        <sz val="10"/>
        <color indexed="12"/>
        <rFont val="Times New Roman"/>
        <family val="1"/>
      </rPr>
      <t>2</t>
    </r>
  </si>
  <si>
    <t>Diện tích coffa :</t>
  </si>
  <si>
    <t>đơnvị</t>
  </si>
  <si>
    <r>
      <t xml:space="preserve">         Tổng tải trên 1m</t>
    </r>
    <r>
      <rPr>
        <b/>
        <vertAlign val="superscript"/>
        <sz val="10"/>
        <color indexed="53"/>
        <rFont val="Times New Roman"/>
        <family val="1"/>
      </rPr>
      <t>2</t>
    </r>
    <r>
      <rPr>
        <b/>
        <sz val="10"/>
        <color indexed="53"/>
        <rFont val="Times New Roman"/>
        <family val="1"/>
      </rPr>
      <t xml:space="preserve"> sàn:  P</t>
    </r>
    <r>
      <rPr>
        <b/>
        <vertAlign val="superscript"/>
        <sz val="10"/>
        <color indexed="53"/>
        <rFont val="Times New Roman"/>
        <family val="1"/>
      </rPr>
      <t>tt</t>
    </r>
    <r>
      <rPr>
        <b/>
        <sz val="10"/>
        <color indexed="53"/>
        <rFont val="Times New Roman"/>
        <family val="1"/>
      </rPr>
      <t xml:space="preserve">   =</t>
    </r>
  </si>
  <si>
    <r>
      <t>Ps</t>
    </r>
    <r>
      <rPr>
        <vertAlign val="superscript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+ gs</t>
    </r>
    <r>
      <rPr>
        <vertAlign val="superscript"/>
        <sz val="10"/>
        <color indexed="8"/>
        <rFont val="Times New Roman"/>
        <family val="1"/>
      </rPr>
      <t>tt</t>
    </r>
  </si>
  <si>
    <r>
      <t>S  =</t>
    </r>
    <r>
      <rPr>
        <sz val="11"/>
        <color indexed="8"/>
        <rFont val="Times New Roman"/>
        <family val="1"/>
      </rPr>
      <t>(L1-((b1+b2)/2))*(L2-((b3+b4)/2))</t>
    </r>
  </si>
  <si>
    <r>
      <t>Tổng Tải trọng trên 1m</t>
    </r>
    <r>
      <rPr>
        <vertAlign val="superscript"/>
        <sz val="12"/>
        <color indexed="12"/>
        <rFont val="Times New Roman"/>
        <family val="1"/>
      </rPr>
      <t>2 :</t>
    </r>
  </si>
  <si>
    <r>
      <t>m</t>
    </r>
    <r>
      <rPr>
        <sz val="12"/>
        <color indexed="8"/>
        <rFont val="Times New Roman"/>
        <family val="1"/>
      </rPr>
      <t xml:space="preserve"> = 0.7</t>
    </r>
  </si>
  <si>
    <r>
      <t xml:space="preserve">Lo =   L  x   </t>
    </r>
    <r>
      <rPr>
        <sz val="12"/>
        <color indexed="8"/>
        <rFont val="Symbol"/>
        <family val="1"/>
      </rPr>
      <t xml:space="preserve">m    </t>
    </r>
  </si>
  <si>
    <t>Đầm bằng tay</t>
  </si>
  <si>
    <t>Đầm bằng máy</t>
  </si>
  <si>
    <t>P = y H + Pđ</t>
  </si>
  <si>
    <t>P = 1500 x H + Pđ</t>
  </si>
  <si>
    <t>Đầm bằng dùi :</t>
  </si>
  <si>
    <t>H</t>
  </si>
  <si>
    <t>Tải trọng ngang :</t>
  </si>
  <si>
    <t>g</t>
  </si>
  <si>
    <t>Ván COFFA</t>
  </si>
  <si>
    <t>Bề rộng Ván</t>
  </si>
  <si>
    <t xml:space="preserve">Bề dày ván </t>
  </si>
  <si>
    <t>linkcot</t>
  </si>
  <si>
    <t>P =</t>
  </si>
  <si>
    <t>Lực phân bố trên  m dài:(ứng với bề rộng ván chọn)</t>
  </si>
  <si>
    <t>q = P x bv  =</t>
  </si>
  <si>
    <t>2.Tính Toán</t>
  </si>
  <si>
    <t>* Sơ đồ tính</t>
  </si>
  <si>
    <t>Ứng suất Cho phép gỗ :</t>
  </si>
  <si>
    <t>LinkCOT</t>
  </si>
  <si>
    <r>
      <t>kg/cm</t>
    </r>
    <r>
      <rPr>
        <vertAlign val="superscript"/>
        <sz val="12"/>
        <color indexed="12"/>
        <rFont val="Arial"/>
        <family val="2"/>
      </rPr>
      <t>2</t>
    </r>
  </si>
  <si>
    <r>
      <t>kg/m</t>
    </r>
    <r>
      <rPr>
        <vertAlign val="superscript"/>
        <sz val="12"/>
        <color indexed="12"/>
        <rFont val="Arial"/>
        <family val="0"/>
      </rPr>
      <t>2</t>
    </r>
  </si>
  <si>
    <r>
      <t>kg/m</t>
    </r>
    <r>
      <rPr>
        <vertAlign val="superscript"/>
        <sz val="12"/>
        <color indexed="12"/>
        <rFont val="Arial"/>
        <family val="0"/>
      </rPr>
      <t>3</t>
    </r>
  </si>
  <si>
    <r>
      <t> =  M</t>
    </r>
    <r>
      <rPr>
        <vertAlign val="subscript"/>
        <sz val="12"/>
        <color indexed="10"/>
        <rFont val="Times New Roman"/>
        <family val="1"/>
      </rPr>
      <t xml:space="preserve">max </t>
    </r>
    <r>
      <rPr>
        <sz val="12"/>
        <color indexed="10"/>
        <rFont val="Times New Roman"/>
        <family val="1"/>
      </rPr>
      <t xml:space="preserve">/ W  </t>
    </r>
    <r>
      <rPr>
        <sz val="12"/>
        <color indexed="10"/>
        <rFont val="Symbol"/>
        <family val="1"/>
      </rPr>
      <t>   [ ]</t>
    </r>
  </si>
  <si>
    <t>Trong đó:</t>
  </si>
  <si>
    <t>Từ 1,2,3 ta có:</t>
  </si>
  <si>
    <t>Þ</t>
  </si>
  <si>
    <r>
      <t xml:space="preserve"> Mmax= q x L</t>
    </r>
    <r>
      <rPr>
        <vertAlign val="subscript"/>
        <sz val="12"/>
        <color indexed="14"/>
        <rFont val="Arial"/>
        <family val="2"/>
      </rPr>
      <t>g</t>
    </r>
    <r>
      <rPr>
        <vertAlign val="superscript"/>
        <sz val="12"/>
        <color indexed="14"/>
        <rFont val="Arial"/>
        <family val="0"/>
      </rPr>
      <t>2</t>
    </r>
    <r>
      <rPr>
        <sz val="12"/>
        <color indexed="14"/>
        <rFont val="Arial"/>
        <family val="0"/>
      </rPr>
      <t>/8</t>
    </r>
  </si>
  <si>
    <r>
      <t>W = b</t>
    </r>
    <r>
      <rPr>
        <vertAlign val="subscript"/>
        <sz val="12"/>
        <color indexed="14"/>
        <rFont val="Arial"/>
        <family val="2"/>
      </rPr>
      <t xml:space="preserve">v </t>
    </r>
    <r>
      <rPr>
        <sz val="12"/>
        <color indexed="14"/>
        <rFont val="Arial"/>
        <family val="0"/>
      </rPr>
      <t>x h</t>
    </r>
    <r>
      <rPr>
        <vertAlign val="subscript"/>
        <sz val="12"/>
        <color indexed="14"/>
        <rFont val="Arial"/>
        <family val="2"/>
      </rPr>
      <t>v</t>
    </r>
    <r>
      <rPr>
        <vertAlign val="superscript"/>
        <sz val="12"/>
        <color indexed="14"/>
        <rFont val="Arial"/>
        <family val="0"/>
      </rPr>
      <t>2</t>
    </r>
    <r>
      <rPr>
        <sz val="12"/>
        <color indexed="14"/>
        <rFont val="Arial"/>
        <family val="0"/>
      </rPr>
      <t>/6</t>
    </r>
  </si>
  <si>
    <r>
      <t>L</t>
    </r>
    <r>
      <rPr>
        <vertAlign val="subscript"/>
        <sz val="12"/>
        <color indexed="14"/>
        <rFont val="Arial"/>
        <family val="2"/>
      </rPr>
      <t>g</t>
    </r>
    <r>
      <rPr>
        <vertAlign val="superscript"/>
        <sz val="12"/>
        <color indexed="14"/>
        <rFont val="Arial"/>
        <family val="2"/>
      </rPr>
      <t>2</t>
    </r>
    <r>
      <rPr>
        <sz val="12"/>
        <color indexed="14"/>
        <rFont val="Arial"/>
        <family val="0"/>
      </rPr>
      <t xml:space="preserve"> </t>
    </r>
    <r>
      <rPr>
        <sz val="12"/>
        <color indexed="14"/>
        <rFont val="Symbol"/>
        <family val="1"/>
      </rPr>
      <t></t>
    </r>
    <r>
      <rPr>
        <sz val="12"/>
        <color indexed="14"/>
        <rFont val="Arial"/>
        <family val="0"/>
      </rPr>
      <t xml:space="preserve"> [</t>
    </r>
    <r>
      <rPr>
        <sz val="12"/>
        <color indexed="14"/>
        <rFont val="Symbol"/>
        <family val="1"/>
      </rPr>
      <t></t>
    </r>
    <r>
      <rPr>
        <sz val="12"/>
        <color indexed="14"/>
        <rFont val="Arial"/>
        <family val="0"/>
      </rPr>
      <t>] 4 b</t>
    </r>
    <r>
      <rPr>
        <vertAlign val="subscript"/>
        <sz val="12"/>
        <color indexed="14"/>
        <rFont val="Arial"/>
        <family val="2"/>
      </rPr>
      <t>v</t>
    </r>
    <r>
      <rPr>
        <sz val="12"/>
        <color indexed="14"/>
        <rFont val="Arial"/>
        <family val="0"/>
      </rPr>
      <t xml:space="preserve"> h</t>
    </r>
    <r>
      <rPr>
        <vertAlign val="subscript"/>
        <sz val="12"/>
        <color indexed="14"/>
        <rFont val="Arial"/>
        <family val="2"/>
      </rPr>
      <t>v</t>
    </r>
    <r>
      <rPr>
        <vertAlign val="superscript"/>
        <sz val="12"/>
        <color indexed="14"/>
        <rFont val="Arial"/>
        <family val="2"/>
      </rPr>
      <t xml:space="preserve">2 </t>
    </r>
    <r>
      <rPr>
        <sz val="12"/>
        <color indexed="14"/>
        <rFont val="Arial"/>
        <family val="2"/>
      </rPr>
      <t>/3q</t>
    </r>
  </si>
  <si>
    <r>
      <t>L</t>
    </r>
    <r>
      <rPr>
        <vertAlign val="subscript"/>
        <sz val="12"/>
        <color indexed="12"/>
        <rFont val="Arial"/>
        <family val="2"/>
      </rPr>
      <t xml:space="preserve">g  </t>
    </r>
    <r>
      <rPr>
        <sz val="12"/>
        <color indexed="12"/>
        <rFont val="Symbol"/>
        <family val="1"/>
      </rPr>
      <t xml:space="preserve"> ([] </t>
    </r>
    <r>
      <rPr>
        <sz val="12"/>
        <color indexed="12"/>
        <rFont val="Times New Roman"/>
        <family val="1"/>
      </rPr>
      <t>4 bv hv</t>
    </r>
    <r>
      <rPr>
        <vertAlign val="super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 xml:space="preserve"> /3q)</t>
    </r>
  </si>
  <si>
    <t>Chọn lại Khoảng cách gông :</t>
  </si>
  <si>
    <t>Khoàng cách gông</t>
  </si>
  <si>
    <r>
      <t xml:space="preserve">(để an  toàn không cần kiểm tra dộ võng ván nên chọn Lg </t>
    </r>
    <r>
      <rPr>
        <sz val="12"/>
        <color indexed="23"/>
        <rFont val="Symbol"/>
        <family val="1"/>
      </rPr>
      <t></t>
    </r>
    <r>
      <rPr>
        <sz val="12"/>
        <color indexed="23"/>
        <rFont val="Arial"/>
        <family val="0"/>
      </rPr>
      <t>80 % Kết quả tính)</t>
    </r>
  </si>
  <si>
    <t>Ván cột</t>
  </si>
  <si>
    <t>bv (cm)</t>
  </si>
  <si>
    <t>hv(cm)</t>
  </si>
  <si>
    <t>h</t>
  </si>
  <si>
    <t>Trọng lương gông không đáng kể nên ta có thể bỏ qua</t>
  </si>
  <si>
    <t>Chiều cao cột</t>
  </si>
  <si>
    <t>h cot</t>
  </si>
  <si>
    <t>Vị trí đặt cột chống cho cột :</t>
  </si>
  <si>
    <t>ở vị trí 3h/4 cột gần sàn tầng trên:</t>
  </si>
  <si>
    <t>(không kể coffa cột cho đoạn ở dưới móng)</t>
  </si>
  <si>
    <t>N=2Q+TLg Bản thân SườnDọc=</t>
  </si>
  <si>
    <r>
      <t>f max = 5qL</t>
    </r>
    <r>
      <rPr>
        <vertAlign val="super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/384EJ</t>
    </r>
  </si>
  <si>
    <t>ở giữa cột  h/2</t>
  </si>
  <si>
    <t>Linkcot</t>
  </si>
  <si>
    <t>linkdam</t>
  </si>
  <si>
    <r>
      <t>b</t>
    </r>
    <r>
      <rPr>
        <b/>
        <vertAlign val="subscript"/>
        <sz val="12"/>
        <color indexed="12"/>
        <rFont val="Times New Roman"/>
        <family val="1"/>
      </rPr>
      <t>v</t>
    </r>
    <r>
      <rPr>
        <b/>
        <sz val="12"/>
        <color indexed="12"/>
        <rFont val="Times New Roman"/>
        <family val="1"/>
      </rPr>
      <t xml:space="preserve">   </t>
    </r>
  </si>
  <si>
    <r>
      <t>h</t>
    </r>
    <r>
      <rPr>
        <b/>
        <vertAlign val="subscript"/>
        <sz val="12"/>
        <color indexed="12"/>
        <rFont val="Times New Roman"/>
        <family val="1"/>
      </rPr>
      <t>v</t>
    </r>
    <r>
      <rPr>
        <b/>
        <sz val="12"/>
        <color indexed="12"/>
        <rFont val="Times New Roman"/>
        <family val="1"/>
      </rPr>
      <t xml:space="preserve">   </t>
    </r>
  </si>
  <si>
    <r>
      <t>b</t>
    </r>
    <r>
      <rPr>
        <b/>
        <vertAlign val="subscript"/>
        <sz val="12"/>
        <color indexed="12"/>
        <rFont val="Times New Roman"/>
        <family val="1"/>
      </rPr>
      <t>sn</t>
    </r>
    <r>
      <rPr>
        <b/>
        <sz val="12"/>
        <color indexed="12"/>
        <rFont val="Times New Roman"/>
        <family val="1"/>
      </rPr>
      <t xml:space="preserve">  </t>
    </r>
  </si>
  <si>
    <r>
      <t>h</t>
    </r>
    <r>
      <rPr>
        <b/>
        <vertAlign val="subscript"/>
        <sz val="12"/>
        <color indexed="12"/>
        <rFont val="Times New Roman"/>
        <family val="1"/>
      </rPr>
      <t>sn</t>
    </r>
    <r>
      <rPr>
        <b/>
        <sz val="12"/>
        <color indexed="12"/>
        <rFont val="Times New Roman"/>
        <family val="1"/>
      </rPr>
      <t xml:space="preserve">   </t>
    </r>
  </si>
  <si>
    <r>
      <t>b</t>
    </r>
    <r>
      <rPr>
        <b/>
        <vertAlign val="subscript"/>
        <sz val="12"/>
        <color indexed="12"/>
        <rFont val="Times New Roman"/>
        <family val="1"/>
      </rPr>
      <t>sd</t>
    </r>
    <r>
      <rPr>
        <b/>
        <sz val="12"/>
        <color indexed="12"/>
        <rFont val="Times New Roman"/>
        <family val="1"/>
      </rPr>
      <t xml:space="preserve">  </t>
    </r>
  </si>
  <si>
    <r>
      <t>h</t>
    </r>
    <r>
      <rPr>
        <b/>
        <vertAlign val="subscript"/>
        <sz val="12"/>
        <color indexed="12"/>
        <rFont val="Times New Roman"/>
        <family val="1"/>
      </rPr>
      <t>sd</t>
    </r>
    <r>
      <rPr>
        <b/>
        <sz val="12"/>
        <color indexed="12"/>
        <rFont val="Times New Roman"/>
        <family val="1"/>
      </rPr>
      <t xml:space="preserve">   </t>
    </r>
  </si>
  <si>
    <t>Góc bố trí cột chống:</t>
  </si>
  <si>
    <r>
      <t xml:space="preserve">[ </t>
    </r>
    <r>
      <rPr>
        <sz val="12"/>
        <color indexed="12"/>
        <rFont val="Symbol"/>
        <family val="1"/>
      </rPr>
      <t></t>
    </r>
    <r>
      <rPr>
        <sz val="12"/>
        <color indexed="12"/>
        <rFont val="Times New Roman"/>
        <family val="1"/>
      </rPr>
      <t>]</t>
    </r>
  </si>
  <si>
    <t>q =</t>
  </si>
  <si>
    <r>
      <t>q = Tổng tải trọng trên 1m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x bv  =</t>
    </r>
  </si>
  <si>
    <r>
      <t>Mmax = qLsn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/8</t>
    </r>
  </si>
  <si>
    <t>W = bv x hv/6</t>
  </si>
  <si>
    <t>Khoảng sau nó:</t>
  </si>
  <si>
    <r>
      <t xml:space="preserve">  =  </t>
    </r>
    <r>
      <rPr>
        <sz val="10"/>
        <color indexed="8"/>
        <rFont val="Times New Roman"/>
        <family val="1"/>
      </rPr>
      <t xml:space="preserve">Mmax / W  </t>
    </r>
    <r>
      <rPr>
        <sz val="10"/>
        <color indexed="8"/>
        <rFont val="Symbol"/>
        <family val="1"/>
      </rPr>
      <t></t>
    </r>
    <r>
      <rPr>
        <sz val="10"/>
        <color indexed="8"/>
        <rFont val="Times New Roman"/>
        <family val="1"/>
      </rPr>
      <t xml:space="preserve"> [</t>
    </r>
    <r>
      <rPr>
        <sz val="10"/>
        <color indexed="8"/>
        <rFont val="Symbol"/>
        <family val="1"/>
      </rPr>
      <t></t>
    </r>
    <r>
      <rPr>
        <sz val="10"/>
        <color indexed="8"/>
        <rFont val="Times New Roman"/>
        <family val="1"/>
      </rPr>
      <t xml:space="preserve"> ]</t>
    </r>
  </si>
  <si>
    <r>
      <t>h</t>
    </r>
    <r>
      <rPr>
        <vertAlign val="subscript"/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 xml:space="preserve"> x trọng lượng đvị ván x 1.1</t>
    </r>
  </si>
  <si>
    <t>Trọng Lượng bthân sườn ngang :</t>
  </si>
  <si>
    <t>W = bsn x hsn/6</t>
  </si>
  <si>
    <t>I = Lcc/4   =</t>
  </si>
  <si>
    <r>
      <t>Mmax = qLsd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/8</t>
    </r>
  </si>
  <si>
    <r>
      <t>s = N/j</t>
    </r>
    <r>
      <rPr>
        <sz val="12"/>
        <color indexed="8"/>
        <rFont val="Times New Roman"/>
        <family val="1"/>
      </rPr>
      <t>F</t>
    </r>
    <r>
      <rPr>
        <vertAlign val="subscript"/>
        <sz val="12"/>
        <color indexed="8"/>
        <rFont val="Times New Roman"/>
        <family val="1"/>
      </rPr>
      <t>tdcchống</t>
    </r>
  </si>
  <si>
    <t>E    =</t>
  </si>
  <si>
    <t>J    =</t>
  </si>
  <si>
    <t>(Tải tác dụng SN+ TLbản thân Sườn Dọc) x Lcc</t>
  </si>
  <si>
    <t>Lấy theo cấu tạo:</t>
  </si>
  <si>
    <t>a</t>
  </si>
  <si>
    <t>Tacó:</t>
  </si>
  <si>
    <r>
      <t xml:space="preserve">Lsd </t>
    </r>
    <r>
      <rPr>
        <sz val="12"/>
        <color indexed="8"/>
        <rFont val="Symbol"/>
        <family val="1"/>
      </rPr>
      <t>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Symbol"/>
        <family val="1"/>
      </rPr>
      <t></t>
    </r>
    <r>
      <rPr>
        <sz val="12"/>
        <color indexed="8"/>
        <rFont val="Times New Roman"/>
        <family val="1"/>
      </rPr>
      <t>[</t>
    </r>
    <r>
      <rPr>
        <sz val="12"/>
        <color indexed="8"/>
        <rFont val="Symbol"/>
        <family val="1"/>
      </rPr>
      <t></t>
    </r>
    <r>
      <rPr>
        <sz val="12"/>
        <color indexed="8"/>
        <rFont val="Times New Roman"/>
        <family val="1"/>
      </rPr>
      <t>]x4b</t>
    </r>
    <r>
      <rPr>
        <vertAlign val="subscript"/>
        <sz val="12"/>
        <color indexed="8"/>
        <rFont val="Times New Roman"/>
        <family val="1"/>
      </rPr>
      <t>sn</t>
    </r>
    <r>
      <rPr>
        <sz val="12"/>
        <color indexed="8"/>
        <rFont val="Times New Roman"/>
        <family val="1"/>
      </rPr>
      <t>xhsn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/3qsn</t>
    </r>
  </si>
  <si>
    <t>o</t>
  </si>
  <si>
    <t>Ứng Suất cho phép of gỗ làm cột chống:</t>
  </si>
  <si>
    <t>Lcc</t>
  </si>
  <si>
    <t>f</t>
  </si>
  <si>
    <t>Phải tính ra tiết diện cột chống!!</t>
  </si>
  <si>
    <t>L =</t>
  </si>
  <si>
    <r>
      <t xml:space="preserve">Nên chọn cột chống  </t>
    </r>
    <r>
      <rPr>
        <sz val="12"/>
        <color indexed="12"/>
        <rFont val="Symbol"/>
        <family val="1"/>
      </rPr>
      <t xml:space="preserve">f </t>
    </r>
    <r>
      <rPr>
        <sz val="12"/>
        <color indexed="12"/>
        <rFont val="Times New Roman"/>
        <family val="1"/>
      </rPr>
      <t>Ban đầu đã chọn!</t>
    </r>
  </si>
  <si>
    <t>Sndam</t>
  </si>
  <si>
    <t>hsndam</t>
  </si>
  <si>
    <t>sd</t>
  </si>
  <si>
    <t>cotchongdam</t>
  </si>
  <si>
    <t>hsd   =</t>
  </si>
  <si>
    <t xml:space="preserve">        3. Gỗ (Tiết Diện)  Sườn dọc</t>
  </si>
  <si>
    <t>Ứng suất cho phép ván</t>
  </si>
  <si>
    <t>Ứng suất cho phép gỗ SN</t>
  </si>
  <si>
    <t>Ứng suất cho phép gỗ SD</t>
  </si>
  <si>
    <t>Ứng suất cho phép gỗ Sd</t>
  </si>
  <si>
    <t>Trọng lượng ĐVị ván</t>
  </si>
  <si>
    <t>Trọng lượng ĐVị cột chống:</t>
  </si>
  <si>
    <t>Trọng lượng ĐVị gỗ làm SD</t>
  </si>
  <si>
    <t>Trọng lượng ĐVị gỗ làm SN</t>
  </si>
  <si>
    <t>TLgỗ</t>
  </si>
  <si>
    <t>n  =</t>
  </si>
  <si>
    <r>
      <t>g</t>
    </r>
    <r>
      <rPr>
        <sz val="10"/>
        <color indexed="12"/>
        <rFont val="Arial"/>
        <family val="0"/>
      </rPr>
      <t>bt</t>
    </r>
  </si>
  <si>
    <t>TL bản thân dầm :</t>
  </si>
  <si>
    <r>
      <t>kg/m</t>
    </r>
    <r>
      <rPr>
        <vertAlign val="superscript"/>
        <sz val="10"/>
        <color indexed="12"/>
        <rFont val="Arial"/>
        <family val="0"/>
      </rPr>
      <t>3</t>
    </r>
  </si>
  <si>
    <t>Trọng lg do xe vận chuyển&amp; cầu công tác:</t>
  </si>
  <si>
    <r>
      <t>g</t>
    </r>
    <r>
      <rPr>
        <sz val="10"/>
        <color indexed="12"/>
        <rFont val="Times New Roman"/>
        <family val="1"/>
      </rPr>
      <t>v</t>
    </r>
  </si>
  <si>
    <r>
      <t xml:space="preserve"> </t>
    </r>
    <r>
      <rPr>
        <sz val="10"/>
        <color indexed="12"/>
        <rFont val="Times New Roman"/>
        <family val="1"/>
      </rPr>
      <t xml:space="preserve">     hv </t>
    </r>
  </si>
  <si>
    <r>
      <t>kg/m</t>
    </r>
    <r>
      <rPr>
        <vertAlign val="superscript"/>
        <sz val="10"/>
        <color indexed="12"/>
        <rFont val="Arial"/>
        <family val="2"/>
      </rPr>
      <t>2</t>
    </r>
  </si>
  <si>
    <r>
      <t>Þ</t>
    </r>
    <r>
      <rPr>
        <sz val="12"/>
        <color indexed="12"/>
        <rFont val="Times New Roman"/>
        <family val="1"/>
      </rPr>
      <t>TLg ván       =</t>
    </r>
  </si>
  <si>
    <t>Trọng Lượng bản thân ván =  TLg đơn vị ván  x hv x n</t>
  </si>
  <si>
    <r>
      <t>Sván</t>
    </r>
    <r>
      <rPr>
        <vertAlign val="subscript"/>
        <sz val="12"/>
        <color indexed="12"/>
        <rFont val="Arial"/>
        <family val="2"/>
      </rPr>
      <t>COFFA</t>
    </r>
    <r>
      <rPr>
        <sz val="12"/>
        <color indexed="12"/>
        <rFont val="Arial"/>
        <family val="2"/>
      </rPr>
      <t>(m</t>
    </r>
    <r>
      <rPr>
        <vertAlign val="superscript"/>
        <sz val="12"/>
        <color indexed="12"/>
        <rFont val="Arial"/>
        <family val="2"/>
      </rPr>
      <t>2</t>
    </r>
    <r>
      <rPr>
        <sz val="12"/>
        <color indexed="12"/>
        <rFont val="Arial"/>
        <family val="2"/>
      </rPr>
      <t>)</t>
    </r>
  </si>
  <si>
    <t>bd</t>
  </si>
  <si>
    <r>
      <t>Hoạt Tải(kg/m</t>
    </r>
    <r>
      <rPr>
        <vertAlign val="superscript"/>
        <sz val="12"/>
        <color indexed="12"/>
        <rFont val="Arial"/>
        <family val="2"/>
      </rPr>
      <t>2</t>
    </r>
    <r>
      <rPr>
        <sz val="12"/>
        <color indexed="12"/>
        <rFont val="Arial"/>
        <family val="0"/>
      </rPr>
      <t>)</t>
    </r>
  </si>
  <si>
    <r>
      <t>Tĩnh Tải(kg/m</t>
    </r>
    <r>
      <rPr>
        <vertAlign val="superscript"/>
        <sz val="12"/>
        <color indexed="12"/>
        <rFont val="Arial"/>
        <family val="2"/>
      </rPr>
      <t>2</t>
    </r>
    <r>
      <rPr>
        <sz val="12"/>
        <color indexed="12"/>
        <rFont val="Arial"/>
        <family val="0"/>
      </rPr>
      <t>)</t>
    </r>
  </si>
  <si>
    <t>Ứng với bv đã chọn!</t>
  </si>
  <si>
    <r>
      <t xml:space="preserve">Lsn </t>
    </r>
    <r>
      <rPr>
        <sz val="12"/>
        <color indexed="12"/>
        <rFont val="Symbol"/>
        <family val="1"/>
      </rPr>
      <t></t>
    </r>
  </si>
  <si>
    <t>ứng suất</t>
  </si>
  <si>
    <t>Lsn(m)</t>
  </si>
  <si>
    <t>Kích thước SN</t>
  </si>
  <si>
    <t>ghi chú: -Khi tải trọng do hoạt tải khác thì phải làm từng dầm khác!</t>
  </si>
  <si>
    <t>Tải tác động từ ngoài lên đầu cột. (Như vòi bom BT)</t>
  </si>
  <si>
    <t>áp lực lên đầu cột!</t>
  </si>
  <si>
    <t>Kg/m</t>
  </si>
  <si>
    <r>
      <t>Lcc2 =h/cos</t>
    </r>
    <r>
      <rPr>
        <sz val="12"/>
        <color indexed="10"/>
        <rFont val="Symbol"/>
        <family val="1"/>
      </rPr>
      <t>a</t>
    </r>
  </si>
  <si>
    <r>
      <t xml:space="preserve">Lcc1 =(h/2)/cos </t>
    </r>
    <r>
      <rPr>
        <sz val="12"/>
        <color indexed="10"/>
        <rFont val="Symbol"/>
        <family val="1"/>
      </rPr>
      <t xml:space="preserve">a </t>
    </r>
  </si>
  <si>
    <r>
      <t>Lcc = h/cos</t>
    </r>
    <r>
      <rPr>
        <sz val="12"/>
        <color indexed="10"/>
        <rFont val="Symbol"/>
        <family val="1"/>
      </rPr>
      <t>a</t>
    </r>
  </si>
  <si>
    <r>
      <t xml:space="preserve">Tải trọng Từ đầu cột truyền dọc theo cột : </t>
    </r>
    <r>
      <rPr>
        <sz val="12"/>
        <color indexed="17"/>
        <rFont val="Arial"/>
        <family val="2"/>
      </rPr>
      <t xml:space="preserve"> N = P /</t>
    </r>
    <r>
      <rPr>
        <sz val="12"/>
        <color indexed="17"/>
        <rFont val="Arial"/>
        <family val="0"/>
      </rPr>
      <t>sin(</t>
    </r>
    <r>
      <rPr>
        <sz val="12"/>
        <color indexed="17"/>
        <rFont val="Symbol"/>
        <family val="1"/>
      </rPr>
      <t>a</t>
    </r>
    <r>
      <rPr>
        <sz val="12"/>
        <color indexed="17"/>
        <rFont val="Arial"/>
        <family val="0"/>
      </rPr>
      <t>) =</t>
    </r>
  </si>
  <si>
    <t>Chọn kích thướt of Gông:      bg  :</t>
  </si>
  <si>
    <t xml:space="preserve">             hg  :</t>
  </si>
  <si>
    <t>Thành phần</t>
  </si>
  <si>
    <r>
      <t>Þ</t>
    </r>
    <r>
      <rPr>
        <sz val="12"/>
        <rFont val="Times New Roman"/>
        <family val="1"/>
      </rPr>
      <t>Lsn</t>
    </r>
    <r>
      <rPr>
        <sz val="12"/>
        <rFont val="Symbol"/>
        <family val="1"/>
      </rPr>
      <t xml:space="preserve">  </t>
    </r>
    <r>
      <rPr>
        <sz val="12"/>
        <rFont val="Times New Roman"/>
        <family val="1"/>
      </rPr>
      <t>[</t>
    </r>
    <r>
      <rPr>
        <sz val="12"/>
        <rFont val="Symbol"/>
        <family val="1"/>
      </rPr>
      <t></t>
    </r>
    <r>
      <rPr>
        <sz val="12"/>
        <rFont val="Times New Roman"/>
        <family val="1"/>
      </rPr>
      <t xml:space="preserve">]x4bvxhv2/3q </t>
    </r>
  </si>
  <si>
    <t xml:space="preserve">   (Lấy Nhỏ Hơn giá trị tính)</t>
  </si>
  <si>
    <r>
      <t xml:space="preserve">Tải tác dụng sườn ngang: </t>
    </r>
  </si>
  <si>
    <r>
      <t xml:space="preserve">    </t>
    </r>
    <r>
      <rPr>
        <sz val="12"/>
        <rFont val="Times New Roman"/>
        <family val="1"/>
      </rPr>
      <t xml:space="preserve"> qsn =(Ps+gs+TLbảnthân ván sàn)xLsn+TlgbthânSN =</t>
    </r>
  </si>
  <si>
    <r>
      <t xml:space="preserve"> Tìm </t>
    </r>
    <r>
      <rPr>
        <b/>
        <sz val="12"/>
        <color indexed="10"/>
        <rFont val="Symbol"/>
        <family val="1"/>
      </rPr>
      <t>j ?</t>
    </r>
  </si>
  <si>
    <r>
      <t>Q  = TảiSN truyền vào x L</t>
    </r>
    <r>
      <rPr>
        <vertAlign val="subscript"/>
        <sz val="12"/>
        <color indexed="8"/>
        <rFont val="Times New Roman"/>
        <family val="1"/>
      </rPr>
      <t xml:space="preserve">sd       </t>
    </r>
    <r>
      <rPr>
        <sz val="12"/>
        <color indexed="8"/>
        <rFont val="Times New Roman"/>
        <family val="1"/>
      </rPr>
      <t>=</t>
    </r>
  </si>
  <si>
    <r>
      <t>F</t>
    </r>
    <r>
      <rPr>
        <vertAlign val="subscript"/>
        <sz val="12"/>
        <color indexed="8"/>
        <rFont val="Times New Roman"/>
        <family val="1"/>
      </rPr>
      <t>tdcchống</t>
    </r>
    <r>
      <rPr>
        <sz val="12"/>
        <color indexed="8"/>
        <rFont val="Symbol"/>
        <family val="1"/>
      </rPr>
      <t xml:space="preserve"> </t>
    </r>
    <r>
      <rPr>
        <b/>
        <sz val="12"/>
        <color indexed="8"/>
        <rFont val="Symbol"/>
        <family val="1"/>
      </rPr>
      <t xml:space="preserve">= </t>
    </r>
    <r>
      <rPr>
        <sz val="12"/>
        <color indexed="8"/>
        <rFont val="Times New Roman"/>
        <family val="1"/>
      </rPr>
      <t>R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*3.14                  =</t>
    </r>
  </si>
  <si>
    <r>
      <t xml:space="preserve">         f  </t>
    </r>
    <r>
      <rPr>
        <sz val="12"/>
        <color indexed="12"/>
        <rFont val="Times New Roman"/>
        <family val="1"/>
      </rPr>
      <t xml:space="preserve">  =</t>
    </r>
  </si>
  <si>
    <r>
      <t>Chú ý</t>
    </r>
    <r>
      <rPr>
        <b/>
        <sz val="12"/>
        <color indexed="62"/>
        <rFont val="Times New Roman"/>
        <family val="1"/>
      </rPr>
      <t xml:space="preserve"> :Nếu kiểm tra độ võng không thoả thì </t>
    </r>
  </si>
  <si>
    <r>
      <t xml:space="preserve">khoảng cách </t>
    </r>
    <r>
      <rPr>
        <b/>
        <sz val="12"/>
        <color indexed="10"/>
        <rFont val="Times New Roman"/>
        <family val="1"/>
      </rPr>
      <t>hai cột chống</t>
    </r>
    <r>
      <rPr>
        <b/>
        <sz val="12"/>
        <color indexed="62"/>
        <rFont val="Times New Roman"/>
        <family val="1"/>
      </rPr>
      <t xml:space="preserve"> ở kết quả cuồi cùng không có tác dụng!</t>
    </r>
  </si>
  <si>
    <r>
      <t xml:space="preserve">Chọn cột chống: </t>
    </r>
    <r>
      <rPr>
        <sz val="12"/>
        <color indexed="12"/>
        <rFont val="Symbol"/>
        <family val="1"/>
      </rPr>
      <t>f =</t>
    </r>
  </si>
  <si>
    <r>
      <t xml:space="preserve">                    f  </t>
    </r>
    <r>
      <rPr>
        <sz val="12"/>
        <color indexed="12"/>
        <rFont val="Times New Roman"/>
        <family val="1"/>
      </rPr>
      <t xml:space="preserve">       =   </t>
    </r>
  </si>
  <si>
    <t>Khoảng cách mép cột đến cột chống :</t>
  </si>
  <si>
    <r>
      <t xml:space="preserve">f         </t>
    </r>
    <r>
      <rPr>
        <sz val="12"/>
        <color indexed="12"/>
        <rFont val="Times New Roman"/>
        <family val="1"/>
      </rPr>
      <t xml:space="preserve"> =</t>
    </r>
  </si>
  <si>
    <r>
      <t>Tổng hoạt tải tính toán: P</t>
    </r>
    <r>
      <rPr>
        <vertAlign val="superscript"/>
        <sz val="12"/>
        <color indexed="12"/>
        <rFont val="Times New Roman"/>
        <family val="1"/>
      </rPr>
      <t>tt</t>
    </r>
  </si>
  <si>
    <t>đơn vị</t>
  </si>
  <si>
    <t>Trọng Lượng bản thân dầm:  = Trọng lượng betông x 1 x n           (TL 1m dài )</t>
  </si>
  <si>
    <t xml:space="preserve"> -Về cơ bản khi tính ta tính 1m dài và sau đó ta bố trí nó!</t>
  </si>
  <si>
    <r>
      <t xml:space="preserve">Lsn </t>
    </r>
    <r>
      <rPr>
        <sz val="10"/>
        <rFont val="Symbol"/>
        <family val="1"/>
      </rPr>
      <t> []</t>
    </r>
    <r>
      <rPr>
        <sz val="10"/>
        <rFont val="Arial"/>
        <family val="0"/>
      </rPr>
      <t>x4bvxhv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/3qsn </t>
    </r>
  </si>
  <si>
    <r>
      <t xml:space="preserve">The End </t>
    </r>
    <r>
      <rPr>
        <b/>
        <u val="single"/>
        <sz val="10"/>
        <color indexed="10"/>
        <rFont val="Arial"/>
        <family val="2"/>
      </rPr>
      <t>COFFA</t>
    </r>
    <r>
      <rPr>
        <b/>
        <u val="single"/>
        <sz val="10"/>
        <color indexed="12"/>
        <rFont val="Arial"/>
        <family val="2"/>
      </rPr>
      <t xml:space="preserve"> cột</t>
    </r>
  </si>
  <si>
    <r>
      <t>b</t>
    </r>
    <r>
      <rPr>
        <vertAlign val="subscript"/>
        <sz val="12"/>
        <color indexed="8"/>
        <rFont val="Times New Roman"/>
        <family val="1"/>
      </rPr>
      <t>sn</t>
    </r>
    <r>
      <rPr>
        <sz val="12"/>
        <color indexed="8"/>
        <rFont val="Times New Roman"/>
        <family val="1"/>
      </rPr>
      <t xml:space="preserve"> x h</t>
    </r>
    <r>
      <rPr>
        <vertAlign val="subscript"/>
        <sz val="12"/>
        <color indexed="8"/>
        <rFont val="Times New Roman"/>
        <family val="1"/>
      </rPr>
      <t>sn</t>
    </r>
    <r>
      <rPr>
        <sz val="12"/>
        <color indexed="8"/>
        <rFont val="Times New Roman"/>
        <family val="1"/>
      </rPr>
      <t>x TLđơn vịgỗ x 1.1 =</t>
    </r>
  </si>
  <si>
    <r>
      <t xml:space="preserve">The End </t>
    </r>
    <r>
      <rPr>
        <b/>
        <u val="single"/>
        <sz val="10"/>
        <color indexed="10"/>
        <rFont val="Arial"/>
        <family val="2"/>
      </rPr>
      <t>COFFA</t>
    </r>
    <r>
      <rPr>
        <b/>
        <u val="single"/>
        <sz val="10"/>
        <color indexed="12"/>
        <rFont val="Arial"/>
        <family val="2"/>
      </rPr>
      <t xml:space="preserve"> Dầm</t>
    </r>
  </si>
  <si>
    <t>(Ứng bề rộng ván chọn)</t>
  </si>
  <si>
    <r>
      <t xml:space="preserve">    </t>
    </r>
    <r>
      <rPr>
        <sz val="12"/>
        <rFont val="Times New Roman"/>
        <family val="1"/>
      </rPr>
      <t xml:space="preserve"> qsn =(Pd+gd+TL</t>
    </r>
    <r>
      <rPr>
        <sz val="10"/>
        <rFont val="Times New Roman"/>
        <family val="1"/>
      </rPr>
      <t>bảnthân ván sàn</t>
    </r>
    <r>
      <rPr>
        <sz val="12"/>
        <rFont val="Times New Roman"/>
        <family val="1"/>
      </rPr>
      <t>)xLsn+TL</t>
    </r>
    <r>
      <rPr>
        <sz val="10"/>
        <rFont val="Times New Roman"/>
        <family val="1"/>
      </rPr>
      <t>bthânSN</t>
    </r>
    <r>
      <rPr>
        <sz val="12"/>
        <rFont val="Times New Roman"/>
        <family val="1"/>
      </rPr>
      <t>=</t>
    </r>
  </si>
  <si>
    <t>Đường Kính Tiết Diện L</t>
  </si>
  <si>
    <t>h cotchống dầm</t>
  </si>
  <si>
    <r>
      <t xml:space="preserve"> </t>
    </r>
    <r>
      <rPr>
        <sz val="12"/>
        <color indexed="8"/>
        <rFont val="Symbol"/>
        <family val="1"/>
      </rPr>
      <t>l</t>
    </r>
    <r>
      <rPr>
        <sz val="12"/>
        <color indexed="8"/>
        <rFont val="Times New Roman"/>
        <family val="1"/>
      </rPr>
      <t xml:space="preserve"> = Lo / I</t>
    </r>
  </si>
  <si>
    <t>cho dầm</t>
  </si>
  <si>
    <r>
      <t>Lsd</t>
    </r>
    <r>
      <rPr>
        <sz val="12"/>
        <color indexed="12"/>
        <rFont val="Symbol"/>
        <family val="1"/>
      </rPr>
      <t></t>
    </r>
  </si>
  <si>
    <t>dam</t>
  </si>
  <si>
    <r>
      <t>bh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/12</t>
    </r>
  </si>
  <si>
    <t xml:space="preserve">bsd  </t>
  </si>
  <si>
    <t xml:space="preserve">bv  </t>
  </si>
  <si>
    <t xml:space="preserve">hv   </t>
  </si>
  <si>
    <t xml:space="preserve">bsn  </t>
  </si>
  <si>
    <t xml:space="preserve">hsn   </t>
  </si>
  <si>
    <t xml:space="preserve"> I. Số liệu tính toán ban đầu</t>
  </si>
  <si>
    <t xml:space="preserve"> II. Tính Toán :</t>
  </si>
  <si>
    <t xml:space="preserve">        mm</t>
  </si>
  <si>
    <t xml:space="preserve">       mm</t>
  </si>
  <si>
    <t xml:space="preserve">      mm</t>
  </si>
  <si>
    <t>Lo       =</t>
  </si>
  <si>
    <t>cot</t>
  </si>
  <si>
    <r>
      <t xml:space="preserve">  = </t>
    </r>
    <r>
      <rPr>
        <sz val="12"/>
        <color indexed="8"/>
        <rFont val="Times New Roman"/>
        <family val="1"/>
      </rPr>
      <t>N/</t>
    </r>
    <r>
      <rPr>
        <sz val="12"/>
        <color indexed="8"/>
        <rFont val="Symbol"/>
        <family val="1"/>
      </rPr>
      <t>j</t>
    </r>
    <r>
      <rPr>
        <sz val="12"/>
        <color indexed="8"/>
        <rFont val="Times New Roman"/>
        <family val="1"/>
      </rPr>
      <t xml:space="preserve">Fcc </t>
    </r>
    <r>
      <rPr>
        <sz val="12"/>
        <color indexed="8"/>
        <rFont val="Symbol"/>
        <family val="1"/>
      </rPr>
      <t></t>
    </r>
    <r>
      <rPr>
        <sz val="12"/>
        <color indexed="8"/>
        <rFont val="Times New Roman"/>
        <family val="1"/>
      </rPr>
      <t xml:space="preserve"> [</t>
    </r>
    <r>
      <rPr>
        <sz val="12"/>
        <color indexed="8"/>
        <rFont val="Symbol"/>
        <family val="1"/>
      </rPr>
      <t></t>
    </r>
    <r>
      <rPr>
        <sz val="12"/>
        <color indexed="8"/>
        <rFont val="Times New Roman"/>
        <family val="1"/>
      </rPr>
      <t xml:space="preserve"> ]  </t>
    </r>
  </si>
  <si>
    <t>Þ   =</t>
  </si>
  <si>
    <r>
      <t xml:space="preserve">Fcc = </t>
    </r>
    <r>
      <rPr>
        <sz val="12"/>
        <color indexed="12"/>
        <rFont val="Symbol"/>
        <family val="1"/>
      </rPr>
      <t>p</t>
    </r>
    <r>
      <rPr>
        <sz val="12"/>
        <color indexed="12"/>
        <rFont val="Times New Roman"/>
        <family val="1"/>
      </rPr>
      <t>R</t>
    </r>
    <r>
      <rPr>
        <vertAlign val="superscript"/>
        <sz val="12"/>
        <color indexed="12"/>
        <rFont val="Symbol"/>
        <family val="1"/>
      </rPr>
      <t>2</t>
    </r>
    <r>
      <rPr>
        <sz val="12"/>
        <color indexed="12"/>
        <rFont val="Symbol"/>
        <family val="1"/>
      </rPr>
      <t xml:space="preserve"> =</t>
    </r>
  </si>
  <si>
    <r>
      <t>m</t>
    </r>
    <r>
      <rPr>
        <vertAlign val="superscript"/>
        <sz val="10"/>
        <rFont val="Arial"/>
        <family val="2"/>
      </rPr>
      <t>2</t>
    </r>
  </si>
  <si>
    <t>3.Kết quả cuối cùng:</t>
  </si>
  <si>
    <t xml:space="preserve"> [ ]  =</t>
  </si>
  <si>
    <t>K/cách-gông(cm)</t>
  </si>
  <si>
    <t>Gông               (cm)</t>
  </si>
  <si>
    <t>Ván sàn           (cm)</t>
  </si>
  <si>
    <t>K/cách mépcột-Cộtchống  (m)</t>
  </si>
  <si>
    <t>Khoảng cách 2 gông            (m)</t>
  </si>
  <si>
    <t>L cột chống                           (m)</t>
  </si>
  <si>
    <t>Khoảng cách sườn dọc:         (m)</t>
  </si>
  <si>
    <t>Khoảng cách cột chống:        (m)</t>
  </si>
  <si>
    <t>Khoảng cách sườn ngang:    (m)</t>
  </si>
  <si>
    <t>Sườn Ngang    (cm)</t>
  </si>
  <si>
    <t>Sườn dọc         (cm)</t>
  </si>
  <si>
    <r>
      <t xml:space="preserve">Cột chống </t>
    </r>
    <r>
      <rPr>
        <b/>
        <sz val="12"/>
        <color indexed="48"/>
        <rFont val="Symbol"/>
        <family val="1"/>
      </rPr>
      <t>f                     (</t>
    </r>
    <r>
      <rPr>
        <b/>
        <sz val="12"/>
        <color indexed="48"/>
        <rFont val="Times New Roman"/>
        <family val="1"/>
      </rPr>
      <t>cm</t>
    </r>
    <r>
      <rPr>
        <b/>
        <sz val="12"/>
        <color indexed="48"/>
        <rFont val="Symbol"/>
        <family val="1"/>
      </rPr>
      <t>)</t>
    </r>
  </si>
  <si>
    <t xml:space="preserve">         Làm lại tăng Kt tiết diện</t>
  </si>
  <si>
    <t>Khoảng cách sườn ngang: (m)</t>
  </si>
  <si>
    <t>Khoảng cách sườn dọc:     (m)</t>
  </si>
  <si>
    <t>Khoảng cách cột chống:     (m)</t>
  </si>
  <si>
    <r>
      <t>Diện tích Coffa  sàn        (cm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</t>
    </r>
  </si>
  <si>
    <r>
      <t xml:space="preserve">Cột chống </t>
    </r>
    <r>
      <rPr>
        <b/>
        <sz val="12"/>
        <color indexed="48"/>
        <rFont val="Symbol"/>
        <family val="1"/>
      </rPr>
      <t>f                  (</t>
    </r>
    <r>
      <rPr>
        <b/>
        <sz val="12"/>
        <color indexed="48"/>
        <rFont val="Times New Roman"/>
        <family val="1"/>
      </rPr>
      <t>cm</t>
    </r>
    <r>
      <rPr>
        <b/>
        <sz val="12"/>
        <color indexed="48"/>
        <rFont val="Symbol"/>
        <family val="1"/>
      </rPr>
      <t>)</t>
    </r>
  </si>
  <si>
    <t>Các Bạn không nên sửa đổi các dữ liệu này !Dẫn đến kết quả không theo ý muốn!</t>
  </si>
  <si>
    <r>
      <t xml:space="preserve">Cột chống </t>
    </r>
    <r>
      <rPr>
        <b/>
        <sz val="12"/>
        <color indexed="48"/>
        <rFont val="Symbol"/>
        <family val="1"/>
      </rPr>
      <t>f  (</t>
    </r>
    <r>
      <rPr>
        <b/>
        <sz val="12"/>
        <color indexed="48"/>
        <rFont val="Times New Roman"/>
        <family val="1"/>
      </rPr>
      <t>cm</t>
    </r>
    <r>
      <rPr>
        <b/>
        <sz val="12"/>
        <color indexed="48"/>
        <rFont val="Symbol"/>
        <family val="1"/>
      </rPr>
      <t>)</t>
    </r>
  </si>
  <si>
    <r>
      <t xml:space="preserve">Góc bố trí                        </t>
    </r>
    <r>
      <rPr>
        <b/>
        <vertAlign val="superscript"/>
        <sz val="12"/>
        <color indexed="48"/>
        <rFont val="Arial"/>
        <family val="2"/>
      </rPr>
      <t>o</t>
    </r>
  </si>
  <si>
    <r>
      <t>Diện tích Coffa  sàn            (m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</si>
</sst>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0000"/>
  </numFmts>
  <fonts count="170">
    <font>
      <sz val="10"/>
      <name val="Arial"/>
      <family val="0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vertAlign val="superscript"/>
      <sz val="10"/>
      <color indexed="53"/>
      <name val="Times New Roman"/>
      <family val="1"/>
    </font>
    <font>
      <sz val="12"/>
      <name val="Symbol"/>
      <family val="1"/>
    </font>
    <font>
      <sz val="10"/>
      <color indexed="14"/>
      <name val="Times New Roman"/>
      <family val="1"/>
    </font>
    <font>
      <sz val="16"/>
      <color indexed="14"/>
      <name val="Arial"/>
      <family val="0"/>
    </font>
    <font>
      <sz val="16"/>
      <color indexed="12"/>
      <name val="Arial"/>
      <family val="2"/>
    </font>
    <font>
      <sz val="16"/>
      <color indexed="15"/>
      <name val="Arial"/>
      <family val="2"/>
    </font>
    <font>
      <sz val="16"/>
      <color indexed="54"/>
      <name val="Arial"/>
      <family val="2"/>
    </font>
    <font>
      <sz val="16"/>
      <color indexed="10"/>
      <name val="Arial"/>
      <family val="2"/>
    </font>
    <font>
      <sz val="16"/>
      <color indexed="17"/>
      <name val="Arial"/>
      <family val="2"/>
    </font>
    <font>
      <sz val="16"/>
      <color indexed="58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color indexed="10"/>
      <name val="Arial"/>
      <family val="0"/>
    </font>
    <font>
      <vertAlign val="subscript"/>
      <sz val="12"/>
      <color indexed="12"/>
      <name val="Arial"/>
      <family val="2"/>
    </font>
    <font>
      <b/>
      <vertAlign val="subscript"/>
      <sz val="12"/>
      <color indexed="12"/>
      <name val="Times New Roman"/>
      <family val="1"/>
    </font>
    <font>
      <sz val="12"/>
      <name val="Arial"/>
      <family val="0"/>
    </font>
    <font>
      <vertAlign val="superscript"/>
      <sz val="12"/>
      <color indexed="12"/>
      <name val="Arial"/>
      <family val="2"/>
    </font>
    <font>
      <b/>
      <sz val="14"/>
      <color indexed="14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14"/>
      <color indexed="10"/>
      <name val="Times New Roman"/>
      <family val="1"/>
    </font>
    <font>
      <vertAlign val="subscript"/>
      <sz val="12"/>
      <color indexed="10"/>
      <name val="Arial"/>
      <family val="0"/>
    </font>
    <font>
      <sz val="10"/>
      <color indexed="2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3"/>
      <name val="Arial"/>
      <family val="2"/>
    </font>
    <font>
      <sz val="11"/>
      <color indexed="12"/>
      <name val="Times New Roman"/>
      <family val="1"/>
    </font>
    <font>
      <sz val="10"/>
      <color indexed="49"/>
      <name val="Times New Roman"/>
      <family val="1"/>
    </font>
    <font>
      <sz val="11"/>
      <color indexed="14"/>
      <name val="Times New Roman"/>
      <family val="1"/>
    </font>
    <font>
      <b/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4"/>
      <name val="Times New Roman"/>
      <family val="1"/>
    </font>
    <font>
      <b/>
      <sz val="18"/>
      <color indexed="57"/>
      <name val="Times New Roman"/>
      <family val="1"/>
    </font>
    <font>
      <b/>
      <sz val="18"/>
      <color indexed="53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6"/>
      <name val="Times New Roman"/>
      <family val="1"/>
    </font>
    <font>
      <b/>
      <sz val="18"/>
      <color indexed="48"/>
      <name val="Times New Roman"/>
      <family val="1"/>
    </font>
    <font>
      <b/>
      <sz val="18"/>
      <color indexed="23"/>
      <name val="Times New Roman"/>
      <family val="1"/>
    </font>
    <font>
      <b/>
      <sz val="18"/>
      <color indexed="51"/>
      <name val="Times New Roman"/>
      <family val="1"/>
    </font>
    <font>
      <b/>
      <sz val="18"/>
      <color indexed="61"/>
      <name val="Times New Roman"/>
      <family val="1"/>
    </font>
    <font>
      <b/>
      <sz val="18"/>
      <color indexed="54"/>
      <name val="Times New Roman"/>
      <family val="1"/>
    </font>
    <font>
      <b/>
      <sz val="18"/>
      <color indexed="60"/>
      <name val="Times New Roman"/>
      <family val="1"/>
    </font>
    <font>
      <b/>
      <sz val="18"/>
      <color indexed="49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15"/>
      <name val="Times New Roman"/>
      <family val="1"/>
    </font>
    <font>
      <b/>
      <sz val="18"/>
      <color indexed="63"/>
      <name val="Times New Roman"/>
      <family val="1"/>
    </font>
    <font>
      <b/>
      <u val="single"/>
      <sz val="10"/>
      <color indexed="10"/>
      <name val="Arial"/>
      <family val="2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sz val="18"/>
      <color indexed="53"/>
      <name val="Times New Roman"/>
      <family val="1"/>
    </font>
    <font>
      <b/>
      <sz val="12"/>
      <color indexed="10"/>
      <name val="Symbol"/>
      <family val="1"/>
    </font>
    <font>
      <b/>
      <sz val="12"/>
      <color indexed="10"/>
      <name val="Times New Roman"/>
      <family val="1"/>
    </font>
    <font>
      <sz val="10"/>
      <color indexed="12"/>
      <name val="Symbol"/>
      <family val="1"/>
    </font>
    <font>
      <vertAlign val="subscript"/>
      <sz val="12"/>
      <color indexed="12"/>
      <name val="Times New Roman"/>
      <family val="1"/>
    </font>
    <font>
      <vertAlign val="superscript"/>
      <sz val="10"/>
      <color indexed="12"/>
      <name val="Times New Roman"/>
      <family val="1"/>
    </font>
    <font>
      <sz val="10"/>
      <color indexed="14"/>
      <name val="Symbol"/>
      <family val="1"/>
    </font>
    <font>
      <b/>
      <sz val="12"/>
      <color indexed="6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b/>
      <sz val="18"/>
      <color indexed="14"/>
      <name val="Arial"/>
      <family val="2"/>
    </font>
    <font>
      <b/>
      <sz val="18"/>
      <color indexed="62"/>
      <name val="Arial"/>
      <family val="2"/>
    </font>
    <font>
      <b/>
      <sz val="18"/>
      <color indexed="60"/>
      <name val="Arial"/>
      <family val="2"/>
    </font>
    <font>
      <b/>
      <sz val="18"/>
      <color indexed="45"/>
      <name val="Arial"/>
      <family val="2"/>
    </font>
    <font>
      <b/>
      <sz val="18"/>
      <color indexed="18"/>
      <name val="Arial"/>
      <family val="2"/>
    </font>
    <font>
      <sz val="10"/>
      <color indexed="17"/>
      <name val="Arial"/>
      <family val="0"/>
    </font>
    <font>
      <sz val="14"/>
      <color indexed="12"/>
      <name val="Arial"/>
      <family val="0"/>
    </font>
    <font>
      <b/>
      <sz val="10"/>
      <color indexed="14"/>
      <name val="Arial"/>
      <family val="2"/>
    </font>
    <font>
      <sz val="14"/>
      <color indexed="14"/>
      <name val="Times New Roman"/>
      <family val="1"/>
    </font>
    <font>
      <vertAlign val="subscript"/>
      <sz val="10"/>
      <color indexed="12"/>
      <name val="Times New Roman"/>
      <family val="1"/>
    </font>
    <font>
      <sz val="11"/>
      <color indexed="12"/>
      <name val="Arial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sz val="10"/>
      <color indexed="14"/>
      <name val="Arial"/>
      <family val="0"/>
    </font>
    <font>
      <sz val="14"/>
      <color indexed="17"/>
      <name val="Arial"/>
      <family val="0"/>
    </font>
    <font>
      <b/>
      <sz val="12"/>
      <color indexed="17"/>
      <name val="Arial"/>
      <family val="2"/>
    </font>
    <font>
      <sz val="12"/>
      <color indexed="14"/>
      <name val="Arial"/>
      <family val="0"/>
    </font>
    <font>
      <sz val="12"/>
      <color indexed="10"/>
      <name val="Symbol"/>
      <family val="1"/>
    </font>
    <font>
      <vertAlign val="subscript"/>
      <sz val="12"/>
      <color indexed="10"/>
      <name val="Times New Roman"/>
      <family val="1"/>
    </font>
    <font>
      <vertAlign val="superscript"/>
      <sz val="12"/>
      <color indexed="14"/>
      <name val="Arial"/>
      <family val="0"/>
    </font>
    <font>
      <sz val="10"/>
      <color indexed="62"/>
      <name val="Arial"/>
      <family val="0"/>
    </font>
    <font>
      <sz val="12"/>
      <color indexed="14"/>
      <name val="Symbol"/>
      <family val="1"/>
    </font>
    <font>
      <vertAlign val="subscript"/>
      <sz val="12"/>
      <color indexed="14"/>
      <name val="Arial"/>
      <family val="2"/>
    </font>
    <font>
      <sz val="12"/>
      <color indexed="23"/>
      <name val="Arial"/>
      <family val="0"/>
    </font>
    <font>
      <sz val="12"/>
      <color indexed="23"/>
      <name val="Symbol"/>
      <family val="1"/>
    </font>
    <font>
      <sz val="12"/>
      <color indexed="54"/>
      <name val="Arial"/>
      <family val="0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Symbol"/>
      <family val="1"/>
    </font>
    <font>
      <b/>
      <sz val="12"/>
      <color indexed="8"/>
      <name val="Symbol"/>
      <family val="1"/>
    </font>
    <font>
      <sz val="12"/>
      <name val="Times New Roman"/>
      <family val="1"/>
    </font>
    <font>
      <vertAlign val="superscript"/>
      <sz val="10"/>
      <color indexed="12"/>
      <name val="Arial"/>
      <family val="0"/>
    </font>
    <font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sz val="12"/>
      <color indexed="17"/>
      <name val="Arial"/>
      <family val="0"/>
    </font>
    <font>
      <sz val="12"/>
      <color indexed="17"/>
      <name val="Symbol"/>
      <family val="1"/>
    </font>
    <font>
      <sz val="12"/>
      <color indexed="40"/>
      <name val="Arial"/>
      <family val="0"/>
    </font>
    <font>
      <sz val="14"/>
      <color indexed="11"/>
      <name val="Times New Roman"/>
      <family val="1"/>
    </font>
    <font>
      <vertAlign val="superscript"/>
      <sz val="12"/>
      <color indexed="12"/>
      <name val="Symbol"/>
      <family val="1"/>
    </font>
    <font>
      <b/>
      <sz val="12"/>
      <color indexed="48"/>
      <name val="Times New Roman"/>
      <family val="1"/>
    </font>
    <font>
      <b/>
      <sz val="12"/>
      <color indexed="48"/>
      <name val="Symbol"/>
      <family val="1"/>
    </font>
    <font>
      <b/>
      <vertAlign val="superscript"/>
      <sz val="12"/>
      <color indexed="48"/>
      <name val="Times New Roman"/>
      <family val="1"/>
    </font>
    <font>
      <b/>
      <sz val="18"/>
      <color indexed="49"/>
      <name val="Arial"/>
      <family val="2"/>
    </font>
    <font>
      <sz val="24"/>
      <color indexed="14"/>
      <name val="Arial"/>
      <family val="0"/>
    </font>
    <font>
      <b/>
      <sz val="12"/>
      <color indexed="48"/>
      <name val="Arial"/>
      <family val="0"/>
    </font>
    <font>
      <b/>
      <vertAlign val="superscript"/>
      <sz val="12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46"/>
      </left>
      <right style="double">
        <color indexed="46"/>
      </right>
      <top style="double">
        <color indexed="46"/>
      </top>
      <bottom style="thin"/>
    </border>
    <border>
      <left style="double">
        <color indexed="46"/>
      </left>
      <right style="double">
        <color indexed="46"/>
      </right>
      <top style="thin"/>
      <bottom style="double">
        <color indexed="4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 style="thin"/>
      <bottom style="thin"/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48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24"/>
      </left>
      <right style="double">
        <color indexed="24"/>
      </right>
      <top style="double">
        <color indexed="24"/>
      </top>
      <bottom style="double"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24"/>
      </left>
      <right style="double">
        <color indexed="24"/>
      </right>
      <top style="double">
        <color indexed="24"/>
      </top>
      <bottom>
        <color indexed="63"/>
      </bottom>
    </border>
    <border>
      <left style="double">
        <color indexed="24"/>
      </left>
      <right style="double">
        <color indexed="24"/>
      </right>
      <top>
        <color indexed="63"/>
      </top>
      <bottom style="double">
        <color indexed="2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31"/>
      </left>
      <right>
        <color indexed="63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 style="double">
        <color indexed="31"/>
      </top>
      <bottom style="double">
        <color indexed="31"/>
      </bottom>
    </border>
    <border>
      <left>
        <color indexed="63"/>
      </left>
      <right style="double">
        <color indexed="31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24"/>
      </right>
      <top style="double">
        <color indexed="24"/>
      </top>
      <bottom style="double">
        <color indexed="24"/>
      </bottom>
    </border>
    <border>
      <left style="double">
        <color indexed="24"/>
      </left>
      <right style="double">
        <color indexed="24"/>
      </right>
      <top>
        <color indexed="63"/>
      </top>
      <bottom>
        <color indexed="63"/>
      </bottom>
    </border>
    <border>
      <left>
        <color indexed="63"/>
      </left>
      <right style="double">
        <color indexed="24"/>
      </right>
      <top>
        <color indexed="63"/>
      </top>
      <bottom style="double">
        <color indexed="24"/>
      </bottom>
    </border>
    <border>
      <left style="double">
        <color indexed="31"/>
      </left>
      <right>
        <color indexed="63"/>
      </right>
      <top style="double">
        <color indexed="31"/>
      </top>
      <bottom>
        <color indexed="63"/>
      </bottom>
    </border>
    <border>
      <left>
        <color indexed="63"/>
      </left>
      <right style="double">
        <color indexed="31"/>
      </right>
      <top style="double">
        <color indexed="31"/>
      </top>
      <bottom>
        <color indexed="63"/>
      </bottom>
    </border>
    <border>
      <left style="dashed">
        <color indexed="45"/>
      </left>
      <right style="dashed">
        <color indexed="45"/>
      </right>
      <top style="dashed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dashed">
        <color indexed="53"/>
      </left>
      <right style="dashed">
        <color indexed="53"/>
      </right>
      <top style="dashed">
        <color indexed="53"/>
      </top>
      <bottom style="dashed">
        <color indexed="53"/>
      </bottom>
    </border>
    <border>
      <left style="dashed">
        <color indexed="40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ashed">
        <color indexed="53"/>
      </left>
      <right style="dashed">
        <color indexed="53"/>
      </right>
      <top style="medium">
        <color indexed="12"/>
      </top>
      <bottom style="medium">
        <color indexed="12"/>
      </bottom>
    </border>
    <border>
      <left style="dashed">
        <color indexed="5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ashed">
        <color indexed="14"/>
      </left>
      <right style="dashed">
        <color indexed="14"/>
      </right>
      <top style="dashed">
        <color indexed="14"/>
      </top>
      <bottom style="dashed">
        <color indexed="14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dashed">
        <color indexed="14"/>
      </left>
      <right style="dashed">
        <color indexed="14"/>
      </right>
      <top style="medium">
        <color indexed="12"/>
      </top>
      <bottom style="dashed">
        <color indexed="14"/>
      </bottom>
    </border>
    <border>
      <left style="dashed">
        <color indexed="14"/>
      </left>
      <right style="medium">
        <color indexed="12"/>
      </right>
      <top style="medium">
        <color indexed="12"/>
      </top>
      <bottom style="dashed">
        <color indexed="14"/>
      </bottom>
    </border>
    <border>
      <left style="dashed">
        <color indexed="14"/>
      </left>
      <right style="medium">
        <color indexed="12"/>
      </right>
      <top style="dashed">
        <color indexed="14"/>
      </top>
      <bottom style="dashed">
        <color indexed="14"/>
      </bottom>
    </border>
    <border>
      <left style="dashed">
        <color indexed="14"/>
      </left>
      <right style="medium">
        <color indexed="12"/>
      </right>
      <top style="dashed">
        <color indexed="14"/>
      </top>
      <bottom style="medium">
        <color indexed="12"/>
      </bottom>
    </border>
    <border>
      <left style="dashed">
        <color indexed="14"/>
      </left>
      <right style="dashed">
        <color indexed="14"/>
      </right>
      <top style="medium">
        <color indexed="48"/>
      </top>
      <bottom style="dashed">
        <color indexed="14"/>
      </bottom>
    </border>
    <border>
      <left style="dashed">
        <color indexed="14"/>
      </left>
      <right style="medium">
        <color indexed="48"/>
      </right>
      <top style="medium">
        <color indexed="48"/>
      </top>
      <bottom style="dashed">
        <color indexed="14"/>
      </bottom>
    </border>
    <border>
      <left style="dashed">
        <color indexed="14"/>
      </left>
      <right style="medium">
        <color indexed="48"/>
      </right>
      <top style="dashed">
        <color indexed="14"/>
      </top>
      <bottom style="dashed">
        <color indexed="14"/>
      </bottom>
    </border>
    <border>
      <left style="dashed">
        <color indexed="14"/>
      </left>
      <right style="medium">
        <color indexed="48"/>
      </right>
      <top style="dashed">
        <color indexed="14"/>
      </top>
      <bottom style="medium">
        <color indexed="48"/>
      </bottom>
    </border>
    <border>
      <left style="medium">
        <color indexed="12"/>
      </left>
      <right style="dashed">
        <color indexed="14"/>
      </right>
      <top style="dashed">
        <color indexed="14"/>
      </top>
      <bottom style="medium">
        <color indexed="12"/>
      </bottom>
    </border>
    <border>
      <left style="dashed">
        <color indexed="14"/>
      </left>
      <right style="dashed">
        <color indexed="14"/>
      </right>
      <top style="dashed">
        <color indexed="14"/>
      </top>
      <bottom style="medium">
        <color indexed="12"/>
      </bottom>
    </border>
    <border>
      <left style="medium">
        <color indexed="12"/>
      </left>
      <right style="dashed">
        <color indexed="14"/>
      </right>
      <top style="medium">
        <color indexed="12"/>
      </top>
      <bottom style="dashed">
        <color indexed="14"/>
      </bottom>
    </border>
    <border>
      <left style="dashDot">
        <color indexed="45"/>
      </left>
      <right>
        <color indexed="63"/>
      </right>
      <top style="dashDot">
        <color indexed="45"/>
      </top>
      <bottom style="dashDot">
        <color indexed="45"/>
      </bottom>
    </border>
    <border>
      <left>
        <color indexed="63"/>
      </left>
      <right style="dashDot">
        <color indexed="45"/>
      </right>
      <top style="dashDot">
        <color indexed="45"/>
      </top>
      <bottom style="dashDot">
        <color indexed="45"/>
      </bottom>
    </border>
    <border>
      <left style="medium">
        <color indexed="12"/>
      </left>
      <right style="dashed">
        <color indexed="14"/>
      </right>
      <top style="dashed">
        <color indexed="14"/>
      </top>
      <bottom style="dashed">
        <color indexed="14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dashed">
        <color indexed="53"/>
      </right>
      <top style="medium">
        <color indexed="12"/>
      </top>
      <bottom style="medium">
        <color indexed="12"/>
      </bottom>
    </border>
    <border>
      <left style="double">
        <color indexed="46"/>
      </left>
      <right>
        <color indexed="63"/>
      </right>
      <top style="double">
        <color indexed="46"/>
      </top>
      <bottom style="double">
        <color indexed="46"/>
      </bottom>
    </border>
    <border>
      <left>
        <color indexed="63"/>
      </left>
      <right>
        <color indexed="63"/>
      </right>
      <top style="double">
        <color indexed="46"/>
      </top>
      <bottom style="double">
        <color indexed="46"/>
      </bottom>
    </border>
    <border>
      <left>
        <color indexed="63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medium">
        <color indexed="48"/>
      </left>
      <right style="dashed">
        <color indexed="14"/>
      </right>
      <top style="dashed">
        <color indexed="14"/>
      </top>
      <bottom style="dashed">
        <color indexed="14"/>
      </bottom>
    </border>
    <border>
      <left style="double">
        <color indexed="24"/>
      </left>
      <right>
        <color indexed="63"/>
      </right>
      <top style="double">
        <color indexed="24"/>
      </top>
      <bottom style="double">
        <color indexed="24"/>
      </bottom>
    </border>
    <border>
      <left style="medium">
        <color indexed="48"/>
      </left>
      <right style="dashed">
        <color indexed="14"/>
      </right>
      <top style="dashed">
        <color indexed="14"/>
      </top>
      <bottom style="medium">
        <color indexed="48"/>
      </bottom>
    </border>
    <border>
      <left style="dashed">
        <color indexed="14"/>
      </left>
      <right style="dashed">
        <color indexed="14"/>
      </right>
      <top style="dashed">
        <color indexed="14"/>
      </top>
      <bottom style="medium">
        <color indexed="48"/>
      </bottom>
    </border>
    <border>
      <left style="medium">
        <color indexed="48"/>
      </left>
      <right style="dashed">
        <color indexed="14"/>
      </right>
      <top style="medium">
        <color indexed="48"/>
      </top>
      <bottom style="dashed">
        <color indexed="1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7" fillId="2" borderId="0" applyNumberFormat="0" applyBorder="0" applyAlignment="0" applyProtection="0"/>
    <xf numFmtId="0" fontId="157" fillId="3" borderId="0" applyNumberFormat="0" applyBorder="0" applyAlignment="0" applyProtection="0"/>
    <xf numFmtId="0" fontId="157" fillId="4" borderId="0" applyNumberFormat="0" applyBorder="0" applyAlignment="0" applyProtection="0"/>
    <xf numFmtId="0" fontId="157" fillId="5" borderId="0" applyNumberFormat="0" applyBorder="0" applyAlignment="0" applyProtection="0"/>
    <xf numFmtId="0" fontId="157" fillId="6" borderId="0" applyNumberFormat="0" applyBorder="0" applyAlignment="0" applyProtection="0"/>
    <xf numFmtId="0" fontId="157" fillId="7" borderId="0" applyNumberFormat="0" applyBorder="0" applyAlignment="0" applyProtection="0"/>
    <xf numFmtId="0" fontId="157" fillId="8" borderId="0" applyNumberFormat="0" applyBorder="0" applyAlignment="0" applyProtection="0"/>
    <xf numFmtId="0" fontId="157" fillId="9" borderId="0" applyNumberFormat="0" applyBorder="0" applyAlignment="0" applyProtection="0"/>
    <xf numFmtId="0" fontId="157" fillId="10" borderId="0" applyNumberFormat="0" applyBorder="0" applyAlignment="0" applyProtection="0"/>
    <xf numFmtId="0" fontId="157" fillId="5" borderId="0" applyNumberFormat="0" applyBorder="0" applyAlignment="0" applyProtection="0"/>
    <xf numFmtId="0" fontId="157" fillId="11" borderId="0" applyNumberFormat="0" applyBorder="0" applyAlignment="0" applyProtection="0"/>
    <xf numFmtId="0" fontId="157" fillId="12" borderId="0" applyNumberFormat="0" applyBorder="0" applyAlignment="0" applyProtection="0"/>
    <xf numFmtId="0" fontId="158" fillId="13" borderId="0" applyNumberFormat="0" applyBorder="0" applyAlignment="0" applyProtection="0"/>
    <xf numFmtId="0" fontId="158" fillId="14" borderId="0" applyNumberFormat="0" applyBorder="0" applyAlignment="0" applyProtection="0"/>
    <xf numFmtId="0" fontId="158" fillId="10" borderId="0" applyNumberFormat="0" applyBorder="0" applyAlignment="0" applyProtection="0"/>
    <xf numFmtId="0" fontId="158" fillId="15" borderId="0" applyNumberFormat="0" applyBorder="0" applyAlignment="0" applyProtection="0"/>
    <xf numFmtId="0" fontId="158" fillId="16" borderId="0" applyNumberFormat="0" applyBorder="0" applyAlignment="0" applyProtection="0"/>
    <xf numFmtId="0" fontId="158" fillId="17" borderId="0" applyNumberFormat="0" applyBorder="0" applyAlignment="0" applyProtection="0"/>
    <xf numFmtId="0" fontId="158" fillId="18" borderId="0" applyNumberFormat="0" applyBorder="0" applyAlignment="0" applyProtection="0"/>
    <xf numFmtId="0" fontId="158" fillId="19" borderId="0" applyNumberFormat="0" applyBorder="0" applyAlignment="0" applyProtection="0"/>
    <xf numFmtId="0" fontId="158" fillId="20" borderId="0" applyNumberFormat="0" applyBorder="0" applyAlignment="0" applyProtection="0"/>
    <xf numFmtId="0" fontId="158" fillId="15" borderId="0" applyNumberFormat="0" applyBorder="0" applyAlignment="0" applyProtection="0"/>
    <xf numFmtId="0" fontId="158" fillId="21" borderId="0" applyNumberFormat="0" applyBorder="0" applyAlignment="0" applyProtection="0"/>
    <xf numFmtId="0" fontId="158" fillId="22" borderId="0" applyNumberFormat="0" applyBorder="0" applyAlignment="0" applyProtection="0"/>
    <xf numFmtId="0" fontId="159" fillId="23" borderId="0" applyNumberFormat="0" applyBorder="0" applyAlignment="0" applyProtection="0"/>
    <xf numFmtId="0" fontId="160" fillId="24" borderId="1" applyNumberFormat="0" applyAlignment="0" applyProtection="0"/>
    <xf numFmtId="0" fontId="16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3" fillId="26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4" fillId="27" borderId="1" applyNumberFormat="0" applyAlignment="0" applyProtection="0"/>
    <xf numFmtId="0" fontId="165" fillId="0" borderId="6" applyNumberFormat="0" applyFill="0" applyAlignment="0" applyProtection="0"/>
    <xf numFmtId="0" fontId="166" fillId="28" borderId="0" applyNumberFormat="0" applyBorder="0" applyAlignment="0" applyProtection="0"/>
    <xf numFmtId="0" fontId="0" fillId="29" borderId="7" applyNumberFormat="0" applyFont="0" applyAlignment="0" applyProtection="0"/>
    <xf numFmtId="0" fontId="167" fillId="24" borderId="8" applyNumberFormat="0" applyAlignment="0" applyProtection="0"/>
    <xf numFmtId="9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0" fillId="30" borderId="0" xfId="0" applyFont="1" applyFill="1" applyAlignment="1">
      <alignment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1" fillId="31" borderId="10" xfId="0" applyFont="1" applyFill="1" applyBorder="1" applyAlignment="1">
      <alignment/>
    </xf>
    <xf numFmtId="0" fontId="39" fillId="0" borderId="0" xfId="0" applyFont="1" applyAlignment="1">
      <alignment/>
    </xf>
    <xf numFmtId="0" fontId="1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0" fillId="0" borderId="0" xfId="0" applyFont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25" fillId="0" borderId="0" xfId="53" applyAlignment="1" applyProtection="1">
      <alignment/>
      <protection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0" borderId="0" xfId="0" applyFont="1" applyFill="1" applyBorder="1" applyAlignment="1">
      <alignment horizontal="right"/>
    </xf>
    <xf numFmtId="0" fontId="46" fillId="3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30" borderId="0" xfId="0" applyFont="1" applyFill="1" applyBorder="1" applyAlignment="1">
      <alignment horizontal="center"/>
    </xf>
    <xf numFmtId="0" fontId="41" fillId="30" borderId="0" xfId="0" applyFont="1" applyFill="1" applyBorder="1" applyAlignment="1">
      <alignment horizontal="center"/>
    </xf>
    <xf numFmtId="0" fontId="4" fillId="30" borderId="0" xfId="0" applyFont="1" applyFill="1" applyBorder="1" applyAlignment="1">
      <alignment/>
    </xf>
    <xf numFmtId="0" fontId="4" fillId="3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5" fillId="0" borderId="0" xfId="53" applyFont="1" applyAlignment="1" applyProtection="1">
      <alignment/>
      <protection/>
    </xf>
    <xf numFmtId="0" fontId="50" fillId="0" borderId="0" xfId="53" applyFont="1" applyAlignment="1" applyProtection="1">
      <alignment/>
      <protection/>
    </xf>
    <xf numFmtId="2" fontId="6" fillId="4" borderId="13" xfId="0" applyNumberFormat="1" applyFont="1" applyFill="1" applyBorder="1" applyAlignment="1">
      <alignment horizontal="center"/>
    </xf>
    <xf numFmtId="168" fontId="51" fillId="0" borderId="0" xfId="0" applyNumberFormat="1" applyFont="1" applyAlignment="1">
      <alignment horizontal="center"/>
    </xf>
    <xf numFmtId="0" fontId="41" fillId="30" borderId="0" xfId="0" applyFont="1" applyFill="1" applyBorder="1" applyAlignment="1">
      <alignment/>
    </xf>
    <xf numFmtId="0" fontId="52" fillId="30" borderId="14" xfId="0" applyFont="1" applyFill="1" applyBorder="1" applyAlignment="1">
      <alignment/>
    </xf>
    <xf numFmtId="0" fontId="53" fillId="30" borderId="14" xfId="0" applyFont="1" applyFill="1" applyBorder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30" borderId="0" xfId="0" applyFont="1" applyFill="1" applyBorder="1" applyAlignment="1">
      <alignment/>
    </xf>
    <xf numFmtId="0" fontId="55" fillId="30" borderId="0" xfId="0" applyFont="1" applyFill="1" applyBorder="1" applyAlignment="1">
      <alignment/>
    </xf>
    <xf numFmtId="0" fontId="53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1" fillId="30" borderId="0" xfId="0" applyFont="1" applyFill="1" applyBorder="1" applyAlignment="1">
      <alignment horizontal="center"/>
    </xf>
    <xf numFmtId="0" fontId="31" fillId="30" borderId="0" xfId="0" applyFont="1" applyFill="1" applyBorder="1" applyAlignment="1">
      <alignment horizontal="center"/>
    </xf>
    <xf numFmtId="0" fontId="16" fillId="30" borderId="0" xfId="0" applyFont="1" applyFill="1" applyBorder="1" applyAlignment="1">
      <alignment/>
    </xf>
    <xf numFmtId="0" fontId="30" fillId="0" borderId="0" xfId="0" applyFont="1" applyAlignment="1" applyProtection="1">
      <alignment/>
      <protection locked="0"/>
    </xf>
    <xf numFmtId="0" fontId="15" fillId="30" borderId="0" xfId="0" applyFont="1" applyFill="1" applyBorder="1" applyAlignment="1">
      <alignment/>
    </xf>
    <xf numFmtId="168" fontId="12" fillId="3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30" borderId="0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77" fillId="30" borderId="0" xfId="0" applyFont="1" applyFill="1" applyBorder="1" applyAlignment="1">
      <alignment horizontal="center"/>
    </xf>
    <xf numFmtId="0" fontId="16" fillId="30" borderId="15" xfId="0" applyFont="1" applyFill="1" applyBorder="1" applyAlignment="1">
      <alignment/>
    </xf>
    <xf numFmtId="0" fontId="10" fillId="30" borderId="14" xfId="0" applyFont="1" applyFill="1" applyBorder="1" applyAlignment="1">
      <alignment/>
    </xf>
    <xf numFmtId="0" fontId="43" fillId="30" borderId="14" xfId="0" applyFont="1" applyFill="1" applyBorder="1" applyAlignment="1">
      <alignment/>
    </xf>
    <xf numFmtId="0" fontId="10" fillId="0" borderId="10" xfId="0" applyFont="1" applyBorder="1" applyAlignment="1" applyProtection="1">
      <alignment horizontal="center"/>
      <protection hidden="1"/>
    </xf>
    <xf numFmtId="168" fontId="2" fillId="0" borderId="0" xfId="0" applyNumberFormat="1" applyFont="1" applyBorder="1" applyAlignment="1">
      <alignment horizontal="center"/>
    </xf>
    <xf numFmtId="168" fontId="29" fillId="30" borderId="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9" fillId="30" borderId="0" xfId="0" applyFont="1" applyFill="1" applyAlignment="1">
      <alignment horizontal="center"/>
    </xf>
    <xf numFmtId="0" fontId="2" fillId="30" borderId="0" xfId="0" applyFont="1" applyFill="1" applyAlignment="1">
      <alignment horizontal="center"/>
    </xf>
    <xf numFmtId="0" fontId="1" fillId="30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52" fillId="30" borderId="2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4" fillId="30" borderId="0" xfId="0" applyFont="1" applyFill="1" applyBorder="1" applyAlignment="1">
      <alignment/>
    </xf>
    <xf numFmtId="0" fontId="24" fillId="30" borderId="21" xfId="0" applyFont="1" applyFill="1" applyBorder="1" applyAlignment="1">
      <alignment/>
    </xf>
    <xf numFmtId="0" fontId="78" fillId="30" borderId="21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4" fillId="30" borderId="0" xfId="0" applyFont="1" applyFill="1" applyBorder="1" applyAlignment="1">
      <alignment/>
    </xf>
    <xf numFmtId="0" fontId="84" fillId="0" borderId="0" xfId="0" applyFont="1" applyAlignment="1">
      <alignment/>
    </xf>
    <xf numFmtId="0" fontId="92" fillId="0" borderId="0" xfId="0" applyFont="1" applyAlignment="1">
      <alignment/>
    </xf>
    <xf numFmtId="0" fontId="28" fillId="0" borderId="0" xfId="0" applyFont="1" applyAlignment="1">
      <alignment/>
    </xf>
    <xf numFmtId="0" fontId="24" fillId="30" borderId="21" xfId="0" applyFont="1" applyFill="1" applyBorder="1" applyAlignment="1">
      <alignment horizontal="center"/>
    </xf>
    <xf numFmtId="0" fontId="24" fillId="30" borderId="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" fillId="30" borderId="0" xfId="0" applyFont="1" applyFill="1" applyAlignment="1">
      <alignment horizontal="center"/>
    </xf>
    <xf numFmtId="168" fontId="12" fillId="31" borderId="22" xfId="0" applyNumberFormat="1" applyFont="1" applyFill="1" applyBorder="1" applyAlignment="1">
      <alignment/>
    </xf>
    <xf numFmtId="0" fontId="4" fillId="31" borderId="22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1" fillId="30" borderId="0" xfId="0" applyFont="1" applyFill="1" applyBorder="1" applyAlignment="1">
      <alignment/>
    </xf>
    <xf numFmtId="0" fontId="10" fillId="30" borderId="23" xfId="0" applyFont="1" applyFill="1" applyBorder="1" applyAlignment="1">
      <alignment horizontal="center"/>
    </xf>
    <xf numFmtId="0" fontId="52" fillId="30" borderId="0" xfId="0" applyFont="1" applyFill="1" applyBorder="1" applyAlignment="1">
      <alignment horizontal="left"/>
    </xf>
    <xf numFmtId="0" fontId="30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9" fillId="30" borderId="0" xfId="0" applyFont="1" applyFill="1" applyBorder="1" applyAlignment="1">
      <alignment/>
    </xf>
    <xf numFmtId="0" fontId="1" fillId="31" borderId="13" xfId="0" applyFont="1" applyFill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24" borderId="24" xfId="0" applyFont="1" applyFill="1" applyBorder="1" applyAlignment="1">
      <alignment horizontal="center"/>
    </xf>
    <xf numFmtId="0" fontId="98" fillId="30" borderId="0" xfId="0" applyFont="1" applyFill="1" applyBorder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05" fillId="0" borderId="0" xfId="0" applyFont="1" applyAlignment="1">
      <alignment/>
    </xf>
    <xf numFmtId="0" fontId="106" fillId="0" borderId="14" xfId="0" applyFont="1" applyBorder="1" applyAlignment="1">
      <alignment/>
    </xf>
    <xf numFmtId="0" fontId="107" fillId="0" borderId="14" xfId="0" applyFont="1" applyBorder="1" applyAlignment="1">
      <alignment/>
    </xf>
    <xf numFmtId="0" fontId="108" fillId="0" borderId="0" xfId="0" applyFont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109" fillId="0" borderId="0" xfId="0" applyFont="1" applyAlignment="1">
      <alignment/>
    </xf>
    <xf numFmtId="0" fontId="112" fillId="0" borderId="0" xfId="0" applyFont="1" applyAlignment="1">
      <alignment horizontal="center"/>
    </xf>
    <xf numFmtId="0" fontId="0" fillId="0" borderId="20" xfId="0" applyBorder="1" applyAlignment="1">
      <alignment/>
    </xf>
    <xf numFmtId="0" fontId="15" fillId="0" borderId="0" xfId="0" applyFont="1" applyAlignment="1">
      <alignment horizontal="center"/>
    </xf>
    <xf numFmtId="0" fontId="27" fillId="0" borderId="25" xfId="0" applyFont="1" applyBorder="1" applyAlignment="1">
      <alignment/>
    </xf>
    <xf numFmtId="0" fontId="36" fillId="0" borderId="25" xfId="0" applyFont="1" applyBorder="1" applyAlignment="1">
      <alignment/>
    </xf>
    <xf numFmtId="0" fontId="115" fillId="0" borderId="0" xfId="0" applyFont="1" applyAlignment="1">
      <alignment/>
    </xf>
    <xf numFmtId="0" fontId="33" fillId="0" borderId="26" xfId="0" applyFont="1" applyBorder="1" applyAlignment="1">
      <alignment/>
    </xf>
    <xf numFmtId="0" fontId="117" fillId="0" borderId="0" xfId="0" applyFont="1" applyAlignment="1">
      <alignment/>
    </xf>
    <xf numFmtId="0" fontId="0" fillId="0" borderId="0" xfId="0" applyBorder="1" applyAlignment="1">
      <alignment/>
    </xf>
    <xf numFmtId="0" fontId="24" fillId="30" borderId="21" xfId="0" applyFont="1" applyFill="1" applyBorder="1" applyAlignment="1">
      <alignment/>
    </xf>
    <xf numFmtId="0" fontId="104" fillId="30" borderId="0" xfId="0" applyFont="1" applyFill="1" applyBorder="1" applyAlignment="1">
      <alignment horizontal="left"/>
    </xf>
    <xf numFmtId="2" fontId="2" fillId="30" borderId="0" xfId="0" applyNumberFormat="1" applyFont="1" applyFill="1" applyBorder="1" applyAlignment="1">
      <alignment horizontal="center"/>
    </xf>
    <xf numFmtId="0" fontId="104" fillId="30" borderId="0" xfId="0" applyFont="1" applyFill="1" applyAlignment="1">
      <alignment/>
    </xf>
    <xf numFmtId="0" fontId="120" fillId="0" borderId="0" xfId="0" applyFont="1" applyAlignment="1">
      <alignment/>
    </xf>
    <xf numFmtId="0" fontId="98" fillId="0" borderId="0" xfId="0" applyFont="1" applyAlignment="1">
      <alignment/>
    </xf>
    <xf numFmtId="0" fontId="15" fillId="0" borderId="0" xfId="0" applyFont="1" applyAlignment="1">
      <alignment horizontal="right"/>
    </xf>
    <xf numFmtId="0" fontId="104" fillId="0" borderId="0" xfId="0" applyFont="1" applyBorder="1" applyAlignment="1">
      <alignment/>
    </xf>
    <xf numFmtId="0" fontId="4" fillId="3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04" fillId="30" borderId="0" xfId="0" applyFont="1" applyFill="1" applyBorder="1" applyAlignment="1">
      <alignment horizontal="center"/>
    </xf>
    <xf numFmtId="0" fontId="104" fillId="3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122" fillId="0" borderId="0" xfId="0" applyFont="1" applyAlignment="1">
      <alignment/>
    </xf>
    <xf numFmtId="0" fontId="78" fillId="30" borderId="21" xfId="0" applyFont="1" applyFill="1" applyBorder="1" applyAlignment="1">
      <alignment/>
    </xf>
    <xf numFmtId="0" fontId="83" fillId="30" borderId="21" xfId="0" applyFont="1" applyFill="1" applyBorder="1" applyAlignment="1">
      <alignment/>
    </xf>
    <xf numFmtId="0" fontId="1" fillId="30" borderId="21" xfId="0" applyFont="1" applyFill="1" applyBorder="1" applyAlignment="1">
      <alignment/>
    </xf>
    <xf numFmtId="0" fontId="4" fillId="30" borderId="21" xfId="0" applyFont="1" applyFill="1" applyBorder="1" applyAlignment="1">
      <alignment/>
    </xf>
    <xf numFmtId="168" fontId="24" fillId="30" borderId="21" xfId="0" applyNumberFormat="1" applyFont="1" applyFill="1" applyBorder="1" applyAlignment="1">
      <alignment/>
    </xf>
    <xf numFmtId="169" fontId="24" fillId="30" borderId="21" xfId="0" applyNumberFormat="1" applyFont="1" applyFill="1" applyBorder="1" applyAlignment="1">
      <alignment/>
    </xf>
    <xf numFmtId="0" fontId="94" fillId="30" borderId="21" xfId="0" applyFont="1" applyFill="1" applyBorder="1" applyAlignment="1">
      <alignment/>
    </xf>
    <xf numFmtId="0" fontId="93" fillId="30" borderId="21" xfId="0" applyFont="1" applyFill="1" applyBorder="1" applyAlignment="1">
      <alignment/>
    </xf>
    <xf numFmtId="0" fontId="24" fillId="30" borderId="27" xfId="0" applyFont="1" applyFill="1" applyBorder="1" applyAlignment="1">
      <alignment/>
    </xf>
    <xf numFmtId="0" fontId="24" fillId="30" borderId="28" xfId="0" applyFont="1" applyFill="1" applyBorder="1" applyAlignment="1">
      <alignment/>
    </xf>
    <xf numFmtId="0" fontId="24" fillId="30" borderId="27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24" fillId="30" borderId="30" xfId="0" applyFont="1" applyFill="1" applyBorder="1" applyAlignment="1">
      <alignment/>
    </xf>
    <xf numFmtId="0" fontId="3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05" fillId="0" borderId="1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25" fillId="30" borderId="0" xfId="0" applyFont="1" applyFill="1" applyBorder="1" applyAlignment="1">
      <alignment/>
    </xf>
    <xf numFmtId="0" fontId="125" fillId="0" borderId="0" xfId="0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2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30" borderId="33" xfId="0" applyFont="1" applyFill="1" applyBorder="1" applyAlignment="1">
      <alignment/>
    </xf>
    <xf numFmtId="0" fontId="1" fillId="31" borderId="10" xfId="0" applyFont="1" applyFill="1" applyBorder="1" applyAlignment="1">
      <alignment horizontal="left"/>
    </xf>
    <xf numFmtId="0" fontId="7" fillId="31" borderId="24" xfId="0" applyFont="1" applyFill="1" applyBorder="1" applyAlignment="1">
      <alignment horizontal="left"/>
    </xf>
    <xf numFmtId="0" fontId="7" fillId="31" borderId="34" xfId="0" applyFont="1" applyFill="1" applyBorder="1" applyAlignment="1">
      <alignment horizontal="left"/>
    </xf>
    <xf numFmtId="0" fontId="104" fillId="0" borderId="0" xfId="0" applyFont="1" applyBorder="1" applyAlignment="1">
      <alignment horizontal="center"/>
    </xf>
    <xf numFmtId="0" fontId="10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1" fillId="30" borderId="0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83" fillId="30" borderId="0" xfId="0" applyFont="1" applyFill="1" applyBorder="1" applyAlignment="1">
      <alignment horizontal="center"/>
    </xf>
    <xf numFmtId="168" fontId="33" fillId="0" borderId="0" xfId="0" applyNumberFormat="1" applyFont="1" applyAlignment="1">
      <alignment horizontal="center"/>
    </xf>
    <xf numFmtId="0" fontId="131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27" fillId="30" borderId="0" xfId="0" applyFont="1" applyFill="1" applyBorder="1" applyAlignment="1">
      <alignment horizontal="center"/>
    </xf>
    <xf numFmtId="0" fontId="27" fillId="30" borderId="0" xfId="0" applyFont="1" applyFill="1" applyBorder="1" applyAlignment="1">
      <alignment/>
    </xf>
    <xf numFmtId="0" fontId="100" fillId="30" borderId="35" xfId="0" applyFont="1" applyFill="1" applyBorder="1" applyAlignment="1">
      <alignment/>
    </xf>
    <xf numFmtId="0" fontId="4" fillId="30" borderId="36" xfId="0" applyFont="1" applyFill="1" applyBorder="1" applyAlignment="1">
      <alignment/>
    </xf>
    <xf numFmtId="0" fontId="4" fillId="30" borderId="37" xfId="0" applyFont="1" applyFill="1" applyBorder="1" applyAlignment="1">
      <alignment/>
    </xf>
    <xf numFmtId="0" fontId="1" fillId="30" borderId="36" xfId="0" applyFont="1" applyFill="1" applyBorder="1" applyAlignment="1">
      <alignment/>
    </xf>
    <xf numFmtId="0" fontId="29" fillId="30" borderId="0" xfId="0" applyFont="1" applyFill="1" applyBorder="1" applyAlignment="1">
      <alignment/>
    </xf>
    <xf numFmtId="0" fontId="4" fillId="31" borderId="38" xfId="0" applyFont="1" applyFill="1" applyBorder="1" applyAlignment="1">
      <alignment/>
    </xf>
    <xf numFmtId="0" fontId="1" fillId="31" borderId="38" xfId="0" applyFont="1" applyFill="1" applyBorder="1" applyAlignment="1">
      <alignment horizontal="center"/>
    </xf>
    <xf numFmtId="0" fontId="52" fillId="30" borderId="20" xfId="0" applyFont="1" applyFill="1" applyBorder="1" applyAlignment="1">
      <alignment/>
    </xf>
    <xf numFmtId="0" fontId="54" fillId="30" borderId="20" xfId="0" applyFont="1" applyFill="1" applyBorder="1" applyAlignment="1">
      <alignment/>
    </xf>
    <xf numFmtId="0" fontId="4" fillId="30" borderId="0" xfId="0" applyFont="1" applyFill="1" applyBorder="1" applyAlignment="1">
      <alignment horizontal="left"/>
    </xf>
    <xf numFmtId="0" fontId="4" fillId="30" borderId="0" xfId="0" applyFont="1" applyFill="1" applyBorder="1" applyAlignment="1">
      <alignment horizontal="center"/>
    </xf>
    <xf numFmtId="0" fontId="53" fillId="0" borderId="20" xfId="0" applyFont="1" applyBorder="1" applyAlignment="1">
      <alignment/>
    </xf>
    <xf numFmtId="0" fontId="55" fillId="30" borderId="20" xfId="0" applyFont="1" applyFill="1" applyBorder="1" applyAlignment="1">
      <alignment/>
    </xf>
    <xf numFmtId="0" fontId="53" fillId="30" borderId="20" xfId="0" applyFont="1" applyFill="1" applyBorder="1" applyAlignment="1">
      <alignment/>
    </xf>
    <xf numFmtId="0" fontId="78" fillId="0" borderId="0" xfId="0" applyFont="1" applyAlignment="1">
      <alignment horizontal="center"/>
    </xf>
    <xf numFmtId="0" fontId="7" fillId="30" borderId="0" xfId="0" applyFont="1" applyFill="1" applyBorder="1" applyAlignment="1">
      <alignment horizontal="left"/>
    </xf>
    <xf numFmtId="0" fontId="98" fillId="30" borderId="0" xfId="0" applyFont="1" applyFill="1" applyBorder="1" applyAlignment="1">
      <alignment horizontal="center"/>
    </xf>
    <xf numFmtId="0" fontId="7" fillId="30" borderId="20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6" fillId="30" borderId="14" xfId="0" applyFont="1" applyFill="1" applyBorder="1" applyAlignment="1">
      <alignment/>
    </xf>
    <xf numFmtId="0" fontId="100" fillId="30" borderId="0" xfId="0" applyFont="1" applyFill="1" applyBorder="1" applyAlignment="1">
      <alignment horizontal="left"/>
    </xf>
    <xf numFmtId="0" fontId="132" fillId="0" borderId="0" xfId="0" applyFont="1" applyAlignment="1">
      <alignment/>
    </xf>
    <xf numFmtId="0" fontId="10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24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/>
    </xf>
    <xf numFmtId="0" fontId="27" fillId="31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33" fillId="0" borderId="39" xfId="0" applyFont="1" applyBorder="1" applyAlignment="1">
      <alignment horizontal="center"/>
    </xf>
    <xf numFmtId="0" fontId="33" fillId="8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7" fillId="30" borderId="0" xfId="0" applyFont="1" applyFill="1" applyBorder="1" applyAlignment="1">
      <alignment/>
    </xf>
    <xf numFmtId="0" fontId="0" fillId="0" borderId="40" xfId="0" applyBorder="1" applyAlignment="1">
      <alignment/>
    </xf>
    <xf numFmtId="0" fontId="27" fillId="30" borderId="41" xfId="0" applyFont="1" applyFill="1" applyBorder="1" applyAlignment="1">
      <alignment/>
    </xf>
    <xf numFmtId="0" fontId="27" fillId="30" borderId="4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71" fontId="41" fillId="3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168" fontId="2" fillId="30" borderId="0" xfId="0" applyNumberFormat="1" applyFont="1" applyFill="1" applyBorder="1" applyAlignment="1">
      <alignment horizontal="center"/>
    </xf>
    <xf numFmtId="168" fontId="2" fillId="30" borderId="0" xfId="0" applyNumberFormat="1" applyFont="1" applyFill="1" applyAlignment="1">
      <alignment horizontal="center"/>
    </xf>
    <xf numFmtId="171" fontId="2" fillId="30" borderId="0" xfId="0" applyNumberFormat="1" applyFont="1" applyFill="1" applyAlignment="1">
      <alignment horizontal="center"/>
    </xf>
    <xf numFmtId="168" fontId="77" fillId="30" borderId="0" xfId="0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0" fontId="38" fillId="30" borderId="20" xfId="0" applyFont="1" applyFill="1" applyBorder="1" applyAlignment="1">
      <alignment/>
    </xf>
    <xf numFmtId="0" fontId="13" fillId="30" borderId="20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170" fontId="28" fillId="0" borderId="0" xfId="0" applyNumberFormat="1" applyFont="1" applyAlignment="1">
      <alignment horizontal="center"/>
    </xf>
    <xf numFmtId="170" fontId="2" fillId="3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30" borderId="0" xfId="0" applyFont="1" applyFill="1" applyBorder="1" applyAlignment="1">
      <alignment/>
    </xf>
    <xf numFmtId="0" fontId="33" fillId="0" borderId="26" xfId="0" applyFont="1" applyBorder="1" applyAlignment="1">
      <alignment horizontal="center"/>
    </xf>
    <xf numFmtId="0" fontId="30" fillId="30" borderId="0" xfId="0" applyFont="1" applyFill="1" applyBorder="1" applyAlignment="1">
      <alignment/>
    </xf>
    <xf numFmtId="0" fontId="82" fillId="30" borderId="0" xfId="0" applyFont="1" applyFill="1" applyAlignment="1">
      <alignment horizontal="left"/>
    </xf>
    <xf numFmtId="0" fontId="138" fillId="30" borderId="0" xfId="0" applyFont="1" applyFill="1" applyBorder="1" applyAlignment="1">
      <alignment/>
    </xf>
    <xf numFmtId="0" fontId="29" fillId="0" borderId="35" xfId="0" applyFont="1" applyBorder="1" applyAlignment="1">
      <alignment/>
    </xf>
    <xf numFmtId="0" fontId="32" fillId="0" borderId="35" xfId="0" applyFont="1" applyBorder="1" applyAlignment="1">
      <alignment/>
    </xf>
    <xf numFmtId="0" fontId="29" fillId="0" borderId="4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8" fontId="33" fillId="0" borderId="48" xfId="0" applyNumberFormat="1" applyFont="1" applyBorder="1" applyAlignment="1">
      <alignment horizontal="center"/>
    </xf>
    <xf numFmtId="168" fontId="10" fillId="31" borderId="48" xfId="0" applyNumberFormat="1" applyFont="1" applyFill="1" applyBorder="1" applyAlignment="1">
      <alignment horizontal="center"/>
    </xf>
    <xf numFmtId="0" fontId="2" fillId="30" borderId="48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7" fillId="0" borderId="24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8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8" fontId="51" fillId="0" borderId="51" xfId="0" applyNumberFormat="1" applyFont="1" applyBorder="1" applyAlignment="1">
      <alignment horizontal="center"/>
    </xf>
    <xf numFmtId="170" fontId="28" fillId="0" borderId="51" xfId="0" applyNumberFormat="1" applyFont="1" applyBorder="1" applyAlignment="1">
      <alignment horizontal="center"/>
    </xf>
    <xf numFmtId="170" fontId="2" fillId="30" borderId="52" xfId="0" applyNumberFormat="1" applyFont="1" applyFill="1" applyBorder="1" applyAlignment="1">
      <alignment horizontal="center"/>
    </xf>
    <xf numFmtId="0" fontId="77" fillId="32" borderId="53" xfId="0" applyFont="1" applyFill="1" applyBorder="1" applyAlignment="1">
      <alignment horizontal="center"/>
    </xf>
    <xf numFmtId="0" fontId="77" fillId="32" borderId="54" xfId="0" applyFont="1" applyFill="1" applyBorder="1" applyAlignment="1">
      <alignment horizontal="center"/>
    </xf>
    <xf numFmtId="0" fontId="77" fillId="32" borderId="55" xfId="0" applyFont="1" applyFill="1" applyBorder="1" applyAlignment="1">
      <alignment horizontal="center"/>
    </xf>
    <xf numFmtId="0" fontId="95" fillId="30" borderId="56" xfId="0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77" fillId="32" borderId="58" xfId="0" applyFont="1" applyFill="1" applyBorder="1" applyAlignment="1">
      <alignment horizontal="center"/>
    </xf>
    <xf numFmtId="0" fontId="77" fillId="32" borderId="59" xfId="0" applyFont="1" applyFill="1" applyBorder="1" applyAlignment="1">
      <alignment horizontal="center"/>
    </xf>
    <xf numFmtId="0" fontId="95" fillId="30" borderId="60" xfId="0" applyFont="1" applyFill="1" applyBorder="1" applyAlignment="1">
      <alignment horizontal="center"/>
    </xf>
    <xf numFmtId="0" fontId="95" fillId="30" borderId="61" xfId="0" applyFont="1" applyFill="1" applyBorder="1" applyAlignment="1">
      <alignment horizontal="center"/>
    </xf>
    <xf numFmtId="0" fontId="95" fillId="30" borderId="62" xfId="0" applyFont="1" applyFill="1" applyBorder="1" applyAlignment="1">
      <alignment horizontal="center"/>
    </xf>
    <xf numFmtId="0" fontId="108" fillId="30" borderId="62" xfId="0" applyFont="1" applyFill="1" applyBorder="1" applyAlignment="1">
      <alignment horizontal="center"/>
    </xf>
    <xf numFmtId="168" fontId="108" fillId="30" borderId="62" xfId="0" applyNumberFormat="1" applyFont="1" applyFill="1" applyBorder="1" applyAlignment="1">
      <alignment horizontal="center"/>
    </xf>
    <xf numFmtId="0" fontId="13" fillId="30" borderId="62" xfId="0" applyFont="1" applyFill="1" applyBorder="1" applyAlignment="1">
      <alignment horizontal="center"/>
    </xf>
    <xf numFmtId="0" fontId="13" fillId="30" borderId="63" xfId="0" applyFont="1" applyFill="1" applyBorder="1" applyAlignment="1">
      <alignment horizontal="center"/>
    </xf>
    <xf numFmtId="0" fontId="13" fillId="30" borderId="60" xfId="0" applyFont="1" applyFill="1" applyBorder="1" applyAlignment="1">
      <alignment horizontal="center"/>
    </xf>
    <xf numFmtId="0" fontId="13" fillId="30" borderId="61" xfId="0" applyFont="1" applyFill="1" applyBorder="1" applyAlignment="1">
      <alignment horizontal="center"/>
    </xf>
    <xf numFmtId="0" fontId="13" fillId="30" borderId="56" xfId="0" applyFont="1" applyFill="1" applyBorder="1" applyAlignment="1">
      <alignment horizontal="center"/>
    </xf>
    <xf numFmtId="0" fontId="13" fillId="30" borderId="64" xfId="0" applyFont="1" applyFill="1" applyBorder="1" applyAlignment="1">
      <alignment horizontal="center"/>
    </xf>
    <xf numFmtId="0" fontId="13" fillId="30" borderId="65" xfId="0" applyFont="1" applyFill="1" applyBorder="1" applyAlignment="1">
      <alignment horizontal="center"/>
    </xf>
    <xf numFmtId="0" fontId="13" fillId="30" borderId="66" xfId="0" applyFont="1" applyFill="1" applyBorder="1" applyAlignment="1">
      <alignment horizontal="center"/>
    </xf>
    <xf numFmtId="0" fontId="108" fillId="30" borderId="66" xfId="0" applyFont="1" applyFill="1" applyBorder="1" applyAlignment="1">
      <alignment horizontal="center"/>
    </xf>
    <xf numFmtId="0" fontId="13" fillId="30" borderId="67" xfId="0" applyFont="1" applyFill="1" applyBorder="1" applyAlignment="1">
      <alignment horizontal="center"/>
    </xf>
    <xf numFmtId="0" fontId="6" fillId="30" borderId="62" xfId="0" applyFont="1" applyFill="1" applyBorder="1" applyAlignment="1">
      <alignment horizontal="center"/>
    </xf>
    <xf numFmtId="2" fontId="6" fillId="30" borderId="63" xfId="0" applyNumberFormat="1" applyFont="1" applyFill="1" applyBorder="1" applyAlignment="1">
      <alignment horizontal="center"/>
    </xf>
    <xf numFmtId="0" fontId="134" fillId="31" borderId="68" xfId="0" applyFont="1" applyFill="1" applyBorder="1" applyAlignment="1">
      <alignment horizontal="left"/>
    </xf>
    <xf numFmtId="0" fontId="134" fillId="31" borderId="69" xfId="0" applyFont="1" applyFill="1" applyBorder="1" applyAlignment="1">
      <alignment horizontal="left"/>
    </xf>
    <xf numFmtId="0" fontId="134" fillId="31" borderId="70" xfId="0" applyFont="1" applyFill="1" applyBorder="1" applyAlignment="1">
      <alignment horizontal="left"/>
    </xf>
    <xf numFmtId="0" fontId="134" fillId="31" borderId="60" xfId="0" applyFont="1" applyFill="1" applyBorder="1" applyAlignment="1">
      <alignment horizontal="left"/>
    </xf>
    <xf numFmtId="168" fontId="12" fillId="31" borderId="22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0" fontId="29" fillId="4" borderId="71" xfId="0" applyFont="1" applyFill="1" applyBorder="1" applyAlignment="1">
      <alignment horizontal="center"/>
    </xf>
    <xf numFmtId="0" fontId="29" fillId="4" borderId="72" xfId="0" applyFont="1" applyFill="1" applyBorder="1" applyAlignment="1">
      <alignment horizontal="center"/>
    </xf>
    <xf numFmtId="0" fontId="134" fillId="31" borderId="73" xfId="0" applyFont="1" applyFill="1" applyBorder="1" applyAlignment="1">
      <alignment horizontal="left"/>
    </xf>
    <xf numFmtId="0" fontId="134" fillId="31" borderId="56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1" fillId="30" borderId="7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30" borderId="25" xfId="0" applyFont="1" applyFill="1" applyBorder="1" applyAlignment="1">
      <alignment horizontal="center"/>
    </xf>
    <xf numFmtId="0" fontId="98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31" borderId="24" xfId="0" applyFont="1" applyFill="1" applyBorder="1" applyAlignment="1">
      <alignment horizontal="center"/>
    </xf>
    <xf numFmtId="0" fontId="1" fillId="31" borderId="38" xfId="0" applyFont="1" applyFill="1" applyBorder="1" applyAlignment="1">
      <alignment horizontal="center"/>
    </xf>
    <xf numFmtId="0" fontId="1" fillId="31" borderId="34" xfId="0" applyFont="1" applyFill="1" applyBorder="1" applyAlignment="1">
      <alignment horizontal="center"/>
    </xf>
    <xf numFmtId="0" fontId="12" fillId="30" borderId="24" xfId="0" applyFont="1" applyFill="1" applyBorder="1" applyAlignment="1" applyProtection="1">
      <alignment horizontal="center"/>
      <protection/>
    </xf>
    <xf numFmtId="0" fontId="12" fillId="30" borderId="38" xfId="0" applyFont="1" applyFill="1" applyBorder="1" applyAlignment="1" applyProtection="1">
      <alignment horizontal="center"/>
      <protection/>
    </xf>
    <xf numFmtId="0" fontId="12" fillId="30" borderId="34" xfId="0" applyFont="1" applyFill="1" applyBorder="1" applyAlignment="1" applyProtection="1">
      <alignment horizontal="center"/>
      <protection/>
    </xf>
    <xf numFmtId="0" fontId="10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31" borderId="24" xfId="0" applyFont="1" applyFill="1" applyBorder="1" applyAlignment="1">
      <alignment horizontal="left"/>
    </xf>
    <xf numFmtId="0" fontId="1" fillId="31" borderId="38" xfId="0" applyFont="1" applyFill="1" applyBorder="1" applyAlignment="1">
      <alignment horizontal="left"/>
    </xf>
    <xf numFmtId="0" fontId="1" fillId="31" borderId="34" xfId="0" applyFont="1" applyFill="1" applyBorder="1" applyAlignment="1">
      <alignment horizontal="left"/>
    </xf>
    <xf numFmtId="0" fontId="77" fillId="32" borderId="75" xfId="0" applyFont="1" applyFill="1" applyBorder="1" applyAlignment="1">
      <alignment horizontal="center"/>
    </xf>
    <xf numFmtId="0" fontId="77" fillId="32" borderId="54" xfId="0" applyFont="1" applyFill="1" applyBorder="1" applyAlignment="1">
      <alignment horizontal="center"/>
    </xf>
    <xf numFmtId="0" fontId="13" fillId="30" borderId="56" xfId="0" applyFont="1" applyFill="1" applyBorder="1" applyAlignment="1">
      <alignment horizontal="center"/>
    </xf>
    <xf numFmtId="0" fontId="13" fillId="30" borderId="62" xfId="0" applyFont="1" applyFill="1" applyBorder="1" applyAlignment="1">
      <alignment horizontal="center"/>
    </xf>
    <xf numFmtId="168" fontId="12" fillId="31" borderId="76" xfId="0" applyNumberFormat="1" applyFont="1" applyFill="1" applyBorder="1" applyAlignment="1">
      <alignment horizontal="left"/>
    </xf>
    <xf numFmtId="168" fontId="12" fillId="31" borderId="77" xfId="0" applyNumberFormat="1" applyFont="1" applyFill="1" applyBorder="1" applyAlignment="1">
      <alignment horizontal="left"/>
    </xf>
    <xf numFmtId="168" fontId="12" fillId="31" borderId="78" xfId="0" applyNumberFormat="1" applyFont="1" applyFill="1" applyBorder="1" applyAlignment="1">
      <alignment horizontal="left"/>
    </xf>
    <xf numFmtId="0" fontId="108" fillId="31" borderId="26" xfId="0" applyFont="1" applyFill="1" applyBorder="1" applyAlignment="1">
      <alignment horizontal="center"/>
    </xf>
    <xf numFmtId="0" fontId="108" fillId="31" borderId="26" xfId="0" applyFont="1" applyFill="1" applyBorder="1" applyAlignment="1">
      <alignment horizontal="left"/>
    </xf>
    <xf numFmtId="168" fontId="12" fillId="31" borderId="76" xfId="0" applyNumberFormat="1" applyFont="1" applyFill="1" applyBorder="1" applyAlignment="1">
      <alignment horizontal="center"/>
    </xf>
    <xf numFmtId="168" fontId="12" fillId="31" borderId="77" xfId="0" applyNumberFormat="1" applyFont="1" applyFill="1" applyBorder="1" applyAlignment="1">
      <alignment horizontal="center"/>
    </xf>
    <xf numFmtId="168" fontId="12" fillId="31" borderId="78" xfId="0" applyNumberFormat="1" applyFont="1" applyFill="1" applyBorder="1" applyAlignment="1">
      <alignment horizontal="center"/>
    </xf>
    <xf numFmtId="0" fontId="139" fillId="31" borderId="73" xfId="0" applyFont="1" applyFill="1" applyBorder="1" applyAlignment="1">
      <alignment horizontal="left"/>
    </xf>
    <xf numFmtId="0" fontId="139" fillId="31" borderId="56" xfId="0" applyFont="1" applyFill="1" applyBorder="1" applyAlignment="1">
      <alignment horizontal="left"/>
    </xf>
    <xf numFmtId="0" fontId="105" fillId="0" borderId="20" xfId="0" applyFont="1" applyBorder="1" applyAlignment="1">
      <alignment horizontal="center"/>
    </xf>
    <xf numFmtId="0" fontId="10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134" fillId="31" borderId="79" xfId="0" applyFont="1" applyFill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30" borderId="24" xfId="0" applyFont="1" applyFill="1" applyBorder="1" applyAlignment="1">
      <alignment horizontal="center"/>
    </xf>
    <xf numFmtId="0" fontId="1" fillId="30" borderId="34" xfId="0" applyFont="1" applyFill="1" applyBorder="1" applyAlignment="1">
      <alignment horizontal="center"/>
    </xf>
    <xf numFmtId="0" fontId="134" fillId="31" borderId="81" xfId="0" applyFont="1" applyFill="1" applyBorder="1" applyAlignment="1">
      <alignment horizontal="left"/>
    </xf>
    <xf numFmtId="0" fontId="134" fillId="31" borderId="82" xfId="0" applyFont="1" applyFill="1" applyBorder="1" applyAlignment="1">
      <alignment horizontal="left"/>
    </xf>
    <xf numFmtId="0" fontId="77" fillId="32" borderId="58" xfId="0" applyFont="1" applyFill="1" applyBorder="1" applyAlignment="1">
      <alignment horizontal="center"/>
    </xf>
    <xf numFmtId="0" fontId="134" fillId="31" borderId="83" xfId="0" applyFont="1" applyFill="1" applyBorder="1" applyAlignment="1">
      <alignment horizontal="left"/>
    </xf>
    <xf numFmtId="0" fontId="134" fillId="31" borderId="64" xfId="0" applyFont="1" applyFill="1" applyBorder="1" applyAlignment="1">
      <alignment horizontal="left"/>
    </xf>
    <xf numFmtId="0" fontId="13" fillId="0" borderId="80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27" fillId="0" borderId="24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83" fillId="30" borderId="0" xfId="0" applyFont="1" applyFill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5" fillId="0" borderId="38" xfId="0" applyFont="1" applyBorder="1" applyAlignment="1">
      <alignment horizontal="center"/>
    </xf>
    <xf numFmtId="0" fontId="105" fillId="0" borderId="34" xfId="0" applyFont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27" fillId="8" borderId="39" xfId="0" applyFont="1" applyFill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33" fillId="31" borderId="12" xfId="0" applyFont="1" applyFill="1" applyBorder="1" applyAlignment="1">
      <alignment horizontal="center"/>
    </xf>
    <xf numFmtId="0" fontId="33" fillId="31" borderId="11" xfId="0" applyFont="1" applyFill="1" applyBorder="1" applyAlignment="1">
      <alignment horizontal="center"/>
    </xf>
    <xf numFmtId="168" fontId="33" fillId="0" borderId="39" xfId="0" applyNumberFormat="1" applyFont="1" applyBorder="1" applyAlignment="1">
      <alignment horizontal="center"/>
    </xf>
    <xf numFmtId="0" fontId="27" fillId="30" borderId="0" xfId="0" applyFont="1" applyFill="1" applyBorder="1" applyAlignment="1">
      <alignment horizontal="center"/>
    </xf>
    <xf numFmtId="0" fontId="38" fillId="31" borderId="20" xfId="0" applyFont="1" applyFill="1" applyBorder="1" applyAlignment="1">
      <alignment horizontal="center"/>
    </xf>
    <xf numFmtId="0" fontId="24" fillId="30" borderId="21" xfId="0" applyFont="1" applyFill="1" applyBorder="1" applyAlignment="1">
      <alignment horizontal="center"/>
    </xf>
    <xf numFmtId="0" fontId="24" fillId="30" borderId="84" xfId="0" applyFont="1" applyFill="1" applyBorder="1" applyAlignment="1">
      <alignment horizontal="center"/>
    </xf>
    <xf numFmtId="0" fontId="24" fillId="30" borderId="85" xfId="0" applyFont="1" applyFill="1" applyBorder="1" applyAlignment="1">
      <alignment horizontal="center"/>
    </xf>
    <xf numFmtId="0" fontId="24" fillId="30" borderId="27" xfId="0" applyFont="1" applyFill="1" applyBorder="1" applyAlignment="1">
      <alignment horizontal="center"/>
    </xf>
    <xf numFmtId="0" fontId="24" fillId="30" borderId="86" xfId="0" applyFont="1" applyFill="1" applyBorder="1" applyAlignment="1">
      <alignment horizontal="center"/>
    </xf>
    <xf numFmtId="0" fontId="78" fillId="30" borderId="21" xfId="0" applyFont="1" applyFill="1" applyBorder="1" applyAlignment="1">
      <alignment horizontal="center"/>
    </xf>
    <xf numFmtId="0" fontId="1" fillId="30" borderId="21" xfId="0" applyFont="1" applyFill="1" applyBorder="1" applyAlignment="1">
      <alignment horizontal="left"/>
    </xf>
    <xf numFmtId="0" fontId="83" fillId="30" borderId="21" xfId="0" applyFont="1" applyFill="1" applyBorder="1" applyAlignment="1">
      <alignment horizontal="center"/>
    </xf>
    <xf numFmtId="0" fontId="137" fillId="30" borderId="21" xfId="0" applyFont="1" applyFill="1" applyBorder="1" applyAlignment="1">
      <alignment horizontal="center"/>
    </xf>
    <xf numFmtId="0" fontId="24" fillId="30" borderId="33" xfId="0" applyFont="1" applyFill="1" applyBorder="1" applyAlignment="1">
      <alignment horizontal="center"/>
    </xf>
    <xf numFmtId="0" fontId="84" fillId="30" borderId="21" xfId="0" applyFont="1" applyFill="1" applyBorder="1" applyAlignment="1">
      <alignment horizontal="center"/>
    </xf>
    <xf numFmtId="0" fontId="32" fillId="30" borderId="21" xfId="0" applyFont="1" applyFill="1" applyBorder="1" applyAlignment="1">
      <alignment horizontal="center"/>
    </xf>
    <xf numFmtId="0" fontId="24" fillId="30" borderId="87" xfId="0" applyFont="1" applyFill="1" applyBorder="1" applyAlignment="1">
      <alignment horizontal="center"/>
    </xf>
    <xf numFmtId="0" fontId="24" fillId="30" borderId="30" xfId="0" applyFont="1" applyFill="1" applyBorder="1" applyAlignment="1">
      <alignment horizontal="center"/>
    </xf>
    <xf numFmtId="0" fontId="24" fillId="30" borderId="0" xfId="0" applyFont="1" applyFill="1" applyBorder="1" applyAlignment="1">
      <alignment horizontal="center"/>
    </xf>
    <xf numFmtId="0" fontId="24" fillId="30" borderId="8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61</xdr:row>
      <xdr:rowOff>9525</xdr:rowOff>
    </xdr:from>
    <xdr:to>
      <xdr:col>4</xdr:col>
      <xdr:colOff>257175</xdr:colOff>
      <xdr:row>63</xdr:row>
      <xdr:rowOff>219075</xdr:rowOff>
    </xdr:to>
    <xdr:sp>
      <xdr:nvSpPr>
        <xdr:cNvPr id="1" name="AutoShape 94"/>
        <xdr:cNvSpPr>
          <a:spLocks/>
        </xdr:cNvSpPr>
      </xdr:nvSpPr>
      <xdr:spPr>
        <a:xfrm>
          <a:off x="2457450" y="13639800"/>
          <a:ext cx="25717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61</xdr:row>
      <xdr:rowOff>142875</xdr:rowOff>
    </xdr:from>
    <xdr:to>
      <xdr:col>15</xdr:col>
      <xdr:colOff>104775</xdr:colOff>
      <xdr:row>62</xdr:row>
      <xdr:rowOff>104775</xdr:rowOff>
    </xdr:to>
    <xdr:grpSp>
      <xdr:nvGrpSpPr>
        <xdr:cNvPr id="2" name="Group 102"/>
        <xdr:cNvGrpSpPr>
          <a:grpSpLocks noChangeAspect="1"/>
        </xdr:cNvGrpSpPr>
      </xdr:nvGrpSpPr>
      <xdr:grpSpPr>
        <a:xfrm>
          <a:off x="1724025" y="13773150"/>
          <a:ext cx="7677150" cy="161925"/>
          <a:chOff x="3063" y="1087"/>
          <a:chExt cx="7200" cy="4320"/>
        </a:xfrm>
        <a:solidFill>
          <a:srgbClr val="FFFFFF"/>
        </a:solidFill>
      </xdr:grpSpPr>
      <xdr:sp>
        <xdr:nvSpPr>
          <xdr:cNvPr id="3" name="AutoShape 103"/>
          <xdr:cNvSpPr>
            <a:spLocks noChangeAspect="1"/>
          </xdr:cNvSpPr>
        </xdr:nvSpPr>
        <xdr:spPr>
          <a:xfrm>
            <a:off x="3063" y="1087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4"/>
          <xdr:cNvSpPr>
            <a:spLocks/>
          </xdr:cNvSpPr>
        </xdr:nvSpPr>
        <xdr:spPr>
          <a:xfrm>
            <a:off x="4773" y="4173"/>
            <a:ext cx="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72</xdr:row>
      <xdr:rowOff>47625</xdr:rowOff>
    </xdr:from>
    <xdr:to>
      <xdr:col>4</xdr:col>
      <xdr:colOff>257175</xdr:colOff>
      <xdr:row>75</xdr:row>
      <xdr:rowOff>0</xdr:rowOff>
    </xdr:to>
    <xdr:sp>
      <xdr:nvSpPr>
        <xdr:cNvPr id="5" name="AutoShape 105"/>
        <xdr:cNvSpPr>
          <a:spLocks/>
        </xdr:cNvSpPr>
      </xdr:nvSpPr>
      <xdr:spPr>
        <a:xfrm>
          <a:off x="2457450" y="16125825"/>
          <a:ext cx="25717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72</xdr:row>
      <xdr:rowOff>219075</xdr:rowOff>
    </xdr:from>
    <xdr:to>
      <xdr:col>15</xdr:col>
      <xdr:colOff>247650</xdr:colOff>
      <xdr:row>73</xdr:row>
      <xdr:rowOff>76200</xdr:rowOff>
    </xdr:to>
    <xdr:grpSp>
      <xdr:nvGrpSpPr>
        <xdr:cNvPr id="6" name="Group 106"/>
        <xdr:cNvGrpSpPr>
          <a:grpSpLocks noChangeAspect="1"/>
        </xdr:cNvGrpSpPr>
      </xdr:nvGrpSpPr>
      <xdr:grpSpPr>
        <a:xfrm>
          <a:off x="1866900" y="16297275"/>
          <a:ext cx="7677150" cy="95250"/>
          <a:chOff x="3063" y="1087"/>
          <a:chExt cx="7200" cy="4320"/>
        </a:xfrm>
        <a:solidFill>
          <a:srgbClr val="FFFFFF"/>
        </a:solidFill>
      </xdr:grpSpPr>
      <xdr:sp>
        <xdr:nvSpPr>
          <xdr:cNvPr id="7" name="AutoShape 107"/>
          <xdr:cNvSpPr>
            <a:spLocks noChangeAspect="1"/>
          </xdr:cNvSpPr>
        </xdr:nvSpPr>
        <xdr:spPr>
          <a:xfrm>
            <a:off x="3063" y="1087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8"/>
          <xdr:cNvSpPr>
            <a:spLocks/>
          </xdr:cNvSpPr>
        </xdr:nvSpPr>
        <xdr:spPr>
          <a:xfrm>
            <a:off x="4773" y="4173"/>
            <a:ext cx="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11</xdr:row>
      <xdr:rowOff>9525</xdr:rowOff>
    </xdr:from>
    <xdr:to>
      <xdr:col>7</xdr:col>
      <xdr:colOff>590550</xdr:colOff>
      <xdr:row>60</xdr:row>
      <xdr:rowOff>0</xdr:rowOff>
    </xdr:to>
    <xdr:grpSp>
      <xdr:nvGrpSpPr>
        <xdr:cNvPr id="9" name="Group 111"/>
        <xdr:cNvGrpSpPr>
          <a:grpSpLocks/>
        </xdr:cNvGrpSpPr>
      </xdr:nvGrpSpPr>
      <xdr:grpSpPr>
        <a:xfrm>
          <a:off x="3143250" y="2276475"/>
          <a:ext cx="1924050" cy="11153775"/>
          <a:chOff x="330" y="239"/>
          <a:chExt cx="182" cy="1159"/>
        </a:xfrm>
        <a:solidFill>
          <a:srgbClr val="FFFFFF"/>
        </a:solidFill>
      </xdr:grpSpPr>
      <xdr:grpSp>
        <xdr:nvGrpSpPr>
          <xdr:cNvPr id="10" name="Group 110"/>
          <xdr:cNvGrpSpPr>
            <a:grpSpLocks/>
          </xdr:cNvGrpSpPr>
        </xdr:nvGrpSpPr>
        <xdr:grpSpPr>
          <a:xfrm>
            <a:off x="330" y="239"/>
            <a:ext cx="61" cy="172"/>
            <a:chOff x="330" y="239"/>
            <a:chExt cx="61" cy="172"/>
          </a:xfrm>
          <a:solidFill>
            <a:srgbClr val="FFFFFF"/>
          </a:solidFill>
        </xdr:grpSpPr>
      </xdr:grpSp>
    </xdr:grpSp>
    <xdr:clientData/>
  </xdr:twoCellAnchor>
  <xdr:twoCellAnchor>
    <xdr:from>
      <xdr:col>3</xdr:col>
      <xdr:colOff>85725</xdr:colOff>
      <xdr:row>65</xdr:row>
      <xdr:rowOff>9525</xdr:rowOff>
    </xdr:from>
    <xdr:to>
      <xdr:col>6</xdr:col>
      <xdr:colOff>114300</xdr:colOff>
      <xdr:row>100</xdr:row>
      <xdr:rowOff>57150</xdr:rowOff>
    </xdr:to>
    <xdr:grpSp>
      <xdr:nvGrpSpPr>
        <xdr:cNvPr id="32" name="Group 112"/>
        <xdr:cNvGrpSpPr>
          <a:grpSpLocks/>
        </xdr:cNvGrpSpPr>
      </xdr:nvGrpSpPr>
      <xdr:grpSpPr>
        <a:xfrm>
          <a:off x="1895475" y="14554200"/>
          <a:ext cx="2124075" cy="7924800"/>
          <a:chOff x="199" y="1516"/>
          <a:chExt cx="203" cy="836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123825</xdr:rowOff>
    </xdr:from>
    <xdr:to>
      <xdr:col>6</xdr:col>
      <xdr:colOff>590550</xdr:colOff>
      <xdr:row>92</xdr:row>
      <xdr:rowOff>47625</xdr:rowOff>
    </xdr:to>
    <xdr:grpSp>
      <xdr:nvGrpSpPr>
        <xdr:cNvPr id="1" name="Group 34"/>
        <xdr:cNvGrpSpPr>
          <a:grpSpLocks/>
        </xdr:cNvGrpSpPr>
      </xdr:nvGrpSpPr>
      <xdr:grpSpPr>
        <a:xfrm>
          <a:off x="1028700" y="657225"/>
          <a:ext cx="3952875" cy="17849850"/>
          <a:chOff x="108" y="69"/>
          <a:chExt cx="415" cy="1878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47</xdr:row>
      <xdr:rowOff>76200</xdr:rowOff>
    </xdr:from>
    <xdr:to>
      <xdr:col>4</xdr:col>
      <xdr:colOff>542925</xdr:colOff>
      <xdr:row>49</xdr:row>
      <xdr:rowOff>38100</xdr:rowOff>
    </xdr:to>
    <xdr:sp>
      <xdr:nvSpPr>
        <xdr:cNvPr id="1" name="AutoShape 63"/>
        <xdr:cNvSpPr>
          <a:spLocks/>
        </xdr:cNvSpPr>
      </xdr:nvSpPr>
      <xdr:spPr>
        <a:xfrm>
          <a:off x="2981325" y="10906125"/>
          <a:ext cx="5143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50</xdr:row>
      <xdr:rowOff>57150</xdr:rowOff>
    </xdr:from>
    <xdr:to>
      <xdr:col>4</xdr:col>
      <xdr:colOff>466725</xdr:colOff>
      <xdr:row>53</xdr:row>
      <xdr:rowOff>0</xdr:rowOff>
    </xdr:to>
    <xdr:sp>
      <xdr:nvSpPr>
        <xdr:cNvPr id="2" name="AutoShape 65"/>
        <xdr:cNvSpPr>
          <a:spLocks/>
        </xdr:cNvSpPr>
      </xdr:nvSpPr>
      <xdr:spPr>
        <a:xfrm>
          <a:off x="3162300" y="11477625"/>
          <a:ext cx="25717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200025</xdr:rowOff>
    </xdr:from>
    <xdr:to>
      <xdr:col>15</xdr:col>
      <xdr:colOff>457200</xdr:colOff>
      <xdr:row>63</xdr:row>
      <xdr:rowOff>114300</xdr:rowOff>
    </xdr:to>
    <xdr:grpSp>
      <xdr:nvGrpSpPr>
        <xdr:cNvPr id="3" name="Group 87"/>
        <xdr:cNvGrpSpPr>
          <a:grpSpLocks noChangeAspect="1"/>
        </xdr:cNvGrpSpPr>
      </xdr:nvGrpSpPr>
      <xdr:grpSpPr>
        <a:xfrm>
          <a:off x="2114550" y="14468475"/>
          <a:ext cx="7858125" cy="161925"/>
          <a:chOff x="3063" y="1087"/>
          <a:chExt cx="7200" cy="4320"/>
        </a:xfrm>
        <a:solidFill>
          <a:srgbClr val="FFFFFF"/>
        </a:solidFill>
      </xdr:grpSpPr>
      <xdr:sp>
        <xdr:nvSpPr>
          <xdr:cNvPr id="4" name="AutoShape 88"/>
          <xdr:cNvSpPr>
            <a:spLocks noChangeAspect="1"/>
          </xdr:cNvSpPr>
        </xdr:nvSpPr>
        <xdr:spPr>
          <a:xfrm>
            <a:off x="3063" y="1087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9"/>
          <xdr:cNvSpPr>
            <a:spLocks/>
          </xdr:cNvSpPr>
        </xdr:nvSpPr>
        <xdr:spPr>
          <a:xfrm>
            <a:off x="4773" y="4173"/>
            <a:ext cx="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77</xdr:row>
      <xdr:rowOff>47625</xdr:rowOff>
    </xdr:from>
    <xdr:to>
      <xdr:col>4</xdr:col>
      <xdr:colOff>257175</xdr:colOff>
      <xdr:row>80</xdr:row>
      <xdr:rowOff>0</xdr:rowOff>
    </xdr:to>
    <xdr:sp>
      <xdr:nvSpPr>
        <xdr:cNvPr id="6" name="AutoShape 90"/>
        <xdr:cNvSpPr>
          <a:spLocks/>
        </xdr:cNvSpPr>
      </xdr:nvSpPr>
      <xdr:spPr>
        <a:xfrm>
          <a:off x="2952750" y="17592675"/>
          <a:ext cx="25717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77</xdr:row>
      <xdr:rowOff>219075</xdr:rowOff>
    </xdr:from>
    <xdr:to>
      <xdr:col>15</xdr:col>
      <xdr:colOff>171450</xdr:colOff>
      <xdr:row>78</xdr:row>
      <xdr:rowOff>76200</xdr:rowOff>
    </xdr:to>
    <xdr:grpSp>
      <xdr:nvGrpSpPr>
        <xdr:cNvPr id="7" name="Group 91"/>
        <xdr:cNvGrpSpPr>
          <a:grpSpLocks noChangeAspect="1"/>
        </xdr:cNvGrpSpPr>
      </xdr:nvGrpSpPr>
      <xdr:grpSpPr>
        <a:xfrm>
          <a:off x="2000250" y="17764125"/>
          <a:ext cx="7686675" cy="95250"/>
          <a:chOff x="3063" y="1087"/>
          <a:chExt cx="7200" cy="4320"/>
        </a:xfrm>
        <a:solidFill>
          <a:srgbClr val="FFFFFF"/>
        </a:solidFill>
      </xdr:grpSpPr>
      <xdr:sp>
        <xdr:nvSpPr>
          <xdr:cNvPr id="8" name="AutoShape 92"/>
          <xdr:cNvSpPr>
            <a:spLocks noChangeAspect="1"/>
          </xdr:cNvSpPr>
        </xdr:nvSpPr>
        <xdr:spPr>
          <a:xfrm>
            <a:off x="3063" y="1087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3"/>
          <xdr:cNvSpPr>
            <a:spLocks/>
          </xdr:cNvSpPr>
        </xdr:nvSpPr>
        <xdr:spPr>
          <a:xfrm>
            <a:off x="4773" y="4173"/>
            <a:ext cx="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56</xdr:row>
      <xdr:rowOff>0</xdr:rowOff>
    </xdr:from>
    <xdr:to>
      <xdr:col>7</xdr:col>
      <xdr:colOff>9525</xdr:colOff>
      <xdr:row>90</xdr:row>
      <xdr:rowOff>47625</xdr:rowOff>
    </xdr:to>
    <xdr:grpSp>
      <xdr:nvGrpSpPr>
        <xdr:cNvPr id="10" name="Group 101"/>
        <xdr:cNvGrpSpPr>
          <a:grpSpLocks/>
        </xdr:cNvGrpSpPr>
      </xdr:nvGrpSpPr>
      <xdr:grpSpPr>
        <a:xfrm>
          <a:off x="1362075" y="12773025"/>
          <a:ext cx="3495675" cy="7667625"/>
          <a:chOff x="143" y="1341"/>
          <a:chExt cx="367" cy="809"/>
        </a:xfrm>
        <a:solidFill>
          <a:srgbClr val="FFFFFF"/>
        </a:solidFill>
      </xdr:grpSpPr>
    </xdr:grpSp>
    <xdr:clientData/>
  </xdr:twoCellAnchor>
  <xdr:twoCellAnchor>
    <xdr:from>
      <xdr:col>3</xdr:col>
      <xdr:colOff>28575</xdr:colOff>
      <xdr:row>7</xdr:row>
      <xdr:rowOff>9525</xdr:rowOff>
    </xdr:from>
    <xdr:to>
      <xdr:col>7</xdr:col>
      <xdr:colOff>333375</xdr:colOff>
      <xdr:row>36</xdr:row>
      <xdr:rowOff>171450</xdr:rowOff>
    </xdr:to>
    <xdr:grpSp>
      <xdr:nvGrpSpPr>
        <xdr:cNvPr id="25" name="Group 104"/>
        <xdr:cNvGrpSpPr>
          <a:grpSpLocks/>
        </xdr:cNvGrpSpPr>
      </xdr:nvGrpSpPr>
      <xdr:grpSpPr>
        <a:xfrm>
          <a:off x="2047875" y="1485900"/>
          <a:ext cx="3133725" cy="6915150"/>
          <a:chOff x="215" y="156"/>
          <a:chExt cx="329" cy="726"/>
        </a:xfrm>
        <a:solidFill>
          <a:srgbClr val="FFFFFF"/>
        </a:solidFill>
      </xdr:grpSpPr>
      <xdr:grpSp>
        <xdr:nvGrpSpPr>
          <xdr:cNvPr id="46" name="Group 103"/>
          <xdr:cNvGrpSpPr>
            <a:grpSpLocks/>
          </xdr:cNvGrpSpPr>
        </xdr:nvGrpSpPr>
        <xdr:grpSpPr>
          <a:xfrm>
            <a:off x="345" y="417"/>
            <a:ext cx="63" cy="465"/>
            <a:chOff x="345" y="417"/>
            <a:chExt cx="63" cy="465"/>
          </a:xfrm>
          <a:solidFill>
            <a:srgbClr val="FFFFFF"/>
          </a:solidFill>
        </xdr:grpSpPr>
        <xdr:grpSp>
          <xdr:nvGrpSpPr>
            <xdr:cNvPr id="55" name="Group 102"/>
            <xdr:cNvGrpSpPr>
              <a:grpSpLocks/>
            </xdr:cNvGrpSpPr>
          </xdr:nvGrpSpPr>
          <xdr:grpSpPr>
            <a:xfrm>
              <a:off x="345" y="674"/>
              <a:ext cx="63" cy="208"/>
              <a:chOff x="345" y="674"/>
              <a:chExt cx="63" cy="208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ONG%20HOP%20TAI%20LIEU\KY%20THUAT%20THI%20CONG\Documents%20and%20Settings\Mai%20Khoa%20Nam\Desktop\s&#224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STKBD"/>
      <sheetName val="Data"/>
    </sheetNames>
    <sheetDataSet>
      <sheetData sheetId="2">
        <row r="27">
          <cell r="A27">
            <v>1</v>
          </cell>
          <cell r="B27" t="str">
            <v>Phòng ngủ của khách sạn, bệnh viện, phòng học, nhà ở, nhà nghỉ, điều dưỡng</v>
          </cell>
          <cell r="C27">
            <v>200</v>
          </cell>
        </row>
        <row r="28">
          <cell r="A28">
            <v>2</v>
          </cell>
          <cell r="B28" t="str">
            <v>Nhà hàng ăn uống, giải khác</v>
          </cell>
          <cell r="C28">
            <v>300</v>
          </cell>
        </row>
        <row r="29">
          <cell r="A29">
            <v>3</v>
          </cell>
          <cell r="B29" t="str">
            <v>Cửa hàng, ttriển lãm, trương bày</v>
          </cell>
          <cell r="C29">
            <v>400</v>
          </cell>
        </row>
        <row r="30">
          <cell r="A30">
            <v>4</v>
          </cell>
          <cell r="B30" t="str">
            <v>Phòng hợp, khiêu vũ, phòng khán giả, khán đài</v>
          </cell>
          <cell r="C30">
            <v>500</v>
          </cell>
        </row>
        <row r="31">
          <cell r="A31">
            <v>5</v>
          </cell>
          <cell r="B31" t="str">
            <v>Sân khấu</v>
          </cell>
          <cell r="C31">
            <v>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P134"/>
  <sheetViews>
    <sheetView showGridLines="0" tabSelected="1" zoomScale="145" zoomScaleNormal="145" zoomScalePageLayoutView="0" workbookViewId="0" topLeftCell="A1">
      <selection activeCell="J11" sqref="J11"/>
    </sheetView>
  </sheetViews>
  <sheetFormatPr defaultColWidth="9.140625" defaultRowHeight="12.75"/>
  <cols>
    <col min="1" max="1" width="8.8515625" style="2" customWidth="1"/>
    <col min="2" max="3" width="9.140625" style="2" customWidth="1"/>
    <col min="4" max="4" width="9.7109375" style="2" customWidth="1"/>
    <col min="5" max="5" width="13.421875" style="2" customWidth="1"/>
    <col min="6" max="6" width="8.28125" style="2" customWidth="1"/>
    <col min="7" max="7" width="8.57421875" style="2" customWidth="1"/>
    <col min="8" max="8" width="9.140625" style="2" customWidth="1"/>
    <col min="9" max="9" width="8.28125" style="2" customWidth="1"/>
    <col min="10" max="16384" width="9.140625" style="2" customWidth="1"/>
  </cols>
  <sheetData>
    <row r="1" spans="2:10" ht="22.5">
      <c r="B1" s="341" t="s">
        <v>106</v>
      </c>
      <c r="C1" s="341"/>
      <c r="D1" s="341"/>
      <c r="E1" s="341"/>
      <c r="F1" s="341"/>
      <c r="G1" s="341"/>
      <c r="H1" s="341"/>
      <c r="I1" s="341"/>
      <c r="J1" s="341"/>
    </row>
    <row r="2" spans="4:8" ht="15">
      <c r="D2" s="50" t="s">
        <v>109</v>
      </c>
      <c r="E2" s="52"/>
      <c r="F2" s="52"/>
      <c r="G2" s="52"/>
      <c r="H2" s="15"/>
    </row>
    <row r="4" spans="1:8" ht="16.5" thickBot="1">
      <c r="A4" s="66" t="s">
        <v>0</v>
      </c>
      <c r="B4" s="67"/>
      <c r="C4" s="67"/>
      <c r="H4"/>
    </row>
    <row r="5" spans="1:8" ht="16.5" thickTop="1">
      <c r="A5" s="74"/>
      <c r="B5" s="76"/>
      <c r="C5" s="76"/>
      <c r="H5"/>
    </row>
    <row r="6" spans="1:8" ht="15.75">
      <c r="A6" s="74"/>
      <c r="B6" s="76"/>
      <c r="C6" s="76"/>
      <c r="H6"/>
    </row>
    <row r="7" spans="1:8" ht="15.75">
      <c r="A7" s="74"/>
      <c r="B7" s="76"/>
      <c r="C7" s="76"/>
      <c r="H7"/>
    </row>
    <row r="8" spans="1:8" ht="15.75">
      <c r="A8" s="74"/>
      <c r="B8" s="76"/>
      <c r="C8" s="76"/>
      <c r="H8"/>
    </row>
    <row r="9" spans="1:8" ht="15.75">
      <c r="A9" s="74"/>
      <c r="B9" s="76"/>
      <c r="C9" s="76"/>
      <c r="H9"/>
    </row>
    <row r="10" spans="1:8" ht="15.75">
      <c r="A10" s="74"/>
      <c r="B10" s="76"/>
      <c r="C10" s="76"/>
      <c r="H10"/>
    </row>
    <row r="11" spans="1:6" ht="16.5" thickBot="1">
      <c r="A11" s="343" t="s">
        <v>57</v>
      </c>
      <c r="B11" s="343"/>
      <c r="C11" s="76"/>
      <c r="F11" s="6"/>
    </row>
    <row r="12" spans="2:7" ht="20.25" thickBot="1" thickTop="1">
      <c r="B12" s="1" t="s">
        <v>166</v>
      </c>
      <c r="D12" s="39"/>
      <c r="E12" s="286" t="s">
        <v>68</v>
      </c>
      <c r="F12" s="22"/>
      <c r="G12" s="289" t="s">
        <v>14</v>
      </c>
    </row>
    <row r="13" spans="2:7" ht="20.25" thickBot="1" thickTop="1">
      <c r="B13" s="1"/>
      <c r="C13" s="1"/>
      <c r="D13" s="39"/>
      <c r="E13" s="286" t="s">
        <v>69</v>
      </c>
      <c r="F13" s="22"/>
      <c r="G13" s="289" t="s">
        <v>14</v>
      </c>
    </row>
    <row r="14" spans="2:7" ht="17.25" thickBot="1" thickTop="1">
      <c r="B14" s="1" t="s">
        <v>10</v>
      </c>
      <c r="C14" s="1"/>
      <c r="D14" s="39"/>
      <c r="E14" s="287" t="s">
        <v>70</v>
      </c>
      <c r="F14" s="22"/>
      <c r="G14" s="289" t="s">
        <v>14</v>
      </c>
    </row>
    <row r="15" spans="2:7" ht="20.25" thickBot="1" thickTop="1">
      <c r="B15" s="1" t="s">
        <v>1</v>
      </c>
      <c r="C15" s="1"/>
      <c r="D15" s="39"/>
      <c r="E15" s="286" t="s">
        <v>71</v>
      </c>
      <c r="F15" s="22"/>
      <c r="G15" s="289" t="s">
        <v>14</v>
      </c>
    </row>
    <row r="16" spans="2:7" ht="20.25" thickBot="1" thickTop="1">
      <c r="B16" s="1"/>
      <c r="C16" s="1"/>
      <c r="D16" s="39"/>
      <c r="E16" s="286" t="s">
        <v>72</v>
      </c>
      <c r="F16" s="22"/>
      <c r="G16" s="289" t="s">
        <v>14</v>
      </c>
    </row>
    <row r="17" spans="1:7" ht="20.25" thickBot="1" thickTop="1">
      <c r="A17" s="40"/>
      <c r="B17" s="1"/>
      <c r="C17" s="1"/>
      <c r="D17" s="39"/>
      <c r="E17" s="288" t="s">
        <v>73</v>
      </c>
      <c r="F17" s="22"/>
      <c r="G17" s="290" t="s">
        <v>14</v>
      </c>
    </row>
    <row r="18" spans="2:7" ht="20.25" thickBot="1" thickTop="1">
      <c r="B18" s="1"/>
      <c r="C18" s="1"/>
      <c r="D18" s="39"/>
      <c r="E18" s="286" t="s">
        <v>74</v>
      </c>
      <c r="F18" s="22"/>
      <c r="G18" s="289" t="s">
        <v>14</v>
      </c>
    </row>
    <row r="19" spans="1:13" ht="16.5" thickTop="1">
      <c r="A19" s="21" t="s">
        <v>77</v>
      </c>
      <c r="B19" s="1"/>
      <c r="C19" s="1"/>
      <c r="D19" s="1"/>
      <c r="E19" s="1"/>
      <c r="I19" s="31"/>
      <c r="J19" s="1"/>
      <c r="K19" s="1"/>
      <c r="L19" s="1"/>
      <c r="M19" s="1"/>
    </row>
    <row r="20" spans="2:13" ht="15.75">
      <c r="B20" s="31" t="s">
        <v>79</v>
      </c>
      <c r="C20" s="1"/>
      <c r="D20" s="1"/>
      <c r="E20" s="1"/>
      <c r="F20" s="1"/>
      <c r="I20" s="31"/>
      <c r="J20" s="1"/>
      <c r="K20" s="1"/>
      <c r="L20" s="1"/>
      <c r="M20" s="1"/>
    </row>
    <row r="21" spans="2:13" ht="15.75">
      <c r="B21" s="31" t="s">
        <v>78</v>
      </c>
      <c r="C21" s="1"/>
      <c r="D21" s="1"/>
      <c r="E21" s="1"/>
      <c r="F21" s="1"/>
      <c r="I21" s="31"/>
      <c r="J21" s="1"/>
      <c r="K21" s="1"/>
      <c r="L21" s="1"/>
      <c r="M21" s="1"/>
    </row>
    <row r="22" spans="2:13" ht="16.5" thickBot="1">
      <c r="B22" s="1" t="s">
        <v>172</v>
      </c>
      <c r="C22" s="1"/>
      <c r="D22" s="39"/>
      <c r="E22" s="130"/>
      <c r="F22" s="88"/>
      <c r="G22" s="80"/>
      <c r="I22" s="31"/>
      <c r="J22" s="1"/>
      <c r="K22" s="1"/>
      <c r="L22" s="1"/>
      <c r="M22" s="1"/>
    </row>
    <row r="23" spans="2:16" ht="20.25" thickBot="1" thickTop="1">
      <c r="B23" s="224" t="s">
        <v>176</v>
      </c>
      <c r="C23" s="227"/>
      <c r="D23" s="225"/>
      <c r="E23" s="226"/>
      <c r="F23" s="63">
        <f>Data!C49</f>
        <v>7.839999999999999</v>
      </c>
      <c r="G23" s="131" t="s">
        <v>60</v>
      </c>
      <c r="I23" s="37"/>
      <c r="J23" s="37"/>
      <c r="K23" s="37"/>
      <c r="P23" s="41"/>
    </row>
    <row r="24" spans="1:16" ht="17.25" thickBot="1" thickTop="1">
      <c r="A24" s="4" t="s">
        <v>58</v>
      </c>
      <c r="B24" s="5"/>
      <c r="C24" s="228"/>
      <c r="D24" s="7"/>
      <c r="F24" s="12" t="s">
        <v>22</v>
      </c>
      <c r="G24" s="12" t="s">
        <v>23</v>
      </c>
      <c r="H24" s="10" t="s">
        <v>170</v>
      </c>
      <c r="I24" s="132" t="s">
        <v>173</v>
      </c>
      <c r="J24" s="42"/>
      <c r="K24" s="43"/>
      <c r="L24" s="41"/>
      <c r="M24" s="44"/>
      <c r="N24" s="46"/>
      <c r="O24" s="47"/>
      <c r="P24" s="45"/>
    </row>
    <row r="25" spans="2:9" ht="20.25" thickBot="1" thickTop="1">
      <c r="B25" s="30" t="s">
        <v>2</v>
      </c>
      <c r="C25" s="229"/>
      <c r="D25" s="30"/>
      <c r="E25" s="30"/>
      <c r="F25" s="300"/>
      <c r="G25" s="294">
        <v>1.3</v>
      </c>
      <c r="H25" s="93">
        <f>IF(Data!M34=1,Data!L34,Data!L35)*'COFFA SÀN'!G25</f>
        <v>260</v>
      </c>
      <c r="I25" s="11" t="s">
        <v>15</v>
      </c>
    </row>
    <row r="26" spans="2:9" ht="20.25" thickBot="1" thickTop="1">
      <c r="B26" s="30" t="s">
        <v>3</v>
      </c>
      <c r="C26" s="30"/>
      <c r="D26" s="30"/>
      <c r="E26" s="30"/>
      <c r="F26" s="299"/>
      <c r="G26" s="294">
        <v>1.3</v>
      </c>
      <c r="H26" s="93">
        <f>IF(Data!M36=1,Data!L36,Data!L37)*'COFFA SÀN'!G26</f>
        <v>260</v>
      </c>
      <c r="I26" s="11" t="s">
        <v>15</v>
      </c>
    </row>
    <row r="27" spans="2:9" ht="20.25" thickBot="1" thickTop="1">
      <c r="B27" s="30" t="s">
        <v>107</v>
      </c>
      <c r="C27" s="30"/>
      <c r="D27" s="30"/>
      <c r="E27" s="30"/>
      <c r="F27" s="299"/>
      <c r="G27" s="294">
        <v>1.3</v>
      </c>
      <c r="H27" s="93">
        <f>IF(Data!M38=1,Data!L38,Data!L39)*'COFFA SÀN'!G27</f>
        <v>390</v>
      </c>
      <c r="I27" s="11" t="s">
        <v>15</v>
      </c>
    </row>
    <row r="28" spans="2:9" ht="20.25" thickBot="1" thickTop="1">
      <c r="B28" s="356" t="s">
        <v>5</v>
      </c>
      <c r="C28" s="357"/>
      <c r="D28" s="357"/>
      <c r="E28" s="358"/>
      <c r="F28" s="299"/>
      <c r="G28" s="294">
        <v>1.3</v>
      </c>
      <c r="H28" s="93">
        <f>IF(Data!M40=1,Data!L40,Data!L41)*'COFFA SÀN'!G28</f>
        <v>0</v>
      </c>
      <c r="I28" s="11" t="s">
        <v>15</v>
      </c>
    </row>
    <row r="29" spans="2:10" ht="20.25" thickBot="1" thickTop="1">
      <c r="B29" s="356" t="s">
        <v>6</v>
      </c>
      <c r="C29" s="357"/>
      <c r="D29" s="357"/>
      <c r="E29" s="358"/>
      <c r="F29" s="298"/>
      <c r="G29" s="294">
        <v>1.3</v>
      </c>
      <c r="H29" s="93">
        <f>IF(Data!M42=1,Data!L42,Data!L43)*'COFFA SÀN'!G29</f>
        <v>195</v>
      </c>
      <c r="I29" s="11" t="s">
        <v>15</v>
      </c>
      <c r="J29" s="295"/>
    </row>
    <row r="30" spans="2:9" ht="20.25" thickBot="1" thickTop="1">
      <c r="B30" s="347" t="s">
        <v>164</v>
      </c>
      <c r="C30" s="348"/>
      <c r="D30" s="348"/>
      <c r="E30" s="349"/>
      <c r="F30" s="350">
        <f>SUM(H25:H29)</f>
        <v>1105</v>
      </c>
      <c r="G30" s="351"/>
      <c r="H30" s="352"/>
      <c r="I30" s="11" t="s">
        <v>15</v>
      </c>
    </row>
    <row r="31" spans="1:9" ht="17.25" thickBot="1" thickTop="1">
      <c r="A31" s="3" t="s">
        <v>8</v>
      </c>
      <c r="B31" s="82"/>
      <c r="C31" s="80"/>
      <c r="D31" s="56"/>
      <c r="F31" s="296"/>
      <c r="I31" s="8"/>
    </row>
    <row r="32" spans="1:9" ht="20.25" thickBot="1" thickTop="1">
      <c r="A32" s="3"/>
      <c r="B32" s="347" t="s">
        <v>306</v>
      </c>
      <c r="C32" s="348"/>
      <c r="D32" s="349"/>
      <c r="E32" s="117" t="s">
        <v>167</v>
      </c>
      <c r="F32" s="117" t="s">
        <v>168</v>
      </c>
      <c r="G32" s="14" t="s">
        <v>23</v>
      </c>
      <c r="H32" s="13" t="s">
        <v>169</v>
      </c>
      <c r="I32" s="8"/>
    </row>
    <row r="33" spans="2:9" ht="17.25" thickBot="1" thickTop="1">
      <c r="B33" s="347" t="s">
        <v>9</v>
      </c>
      <c r="C33" s="348"/>
      <c r="D33" s="349"/>
      <c r="E33" s="129">
        <f>VLOOKUP(Data!K5,Data!G5:I11,3,FALSE)</f>
        <v>0.1</v>
      </c>
      <c r="F33" s="128">
        <v>2500</v>
      </c>
      <c r="G33" s="10">
        <v>1.1</v>
      </c>
      <c r="H33" s="133">
        <f>F33*G33*E33</f>
        <v>275</v>
      </c>
      <c r="I33" s="8"/>
    </row>
    <row r="34" spans="2:9" ht="17.25" thickBot="1" thickTop="1">
      <c r="B34" s="210" t="s">
        <v>174</v>
      </c>
      <c r="C34" s="230"/>
      <c r="D34" s="211"/>
      <c r="E34" s="345" t="s">
        <v>175</v>
      </c>
      <c r="F34" s="346"/>
      <c r="G34" s="134">
        <f>H33+F30</f>
        <v>1380</v>
      </c>
      <c r="H34" s="10" t="s">
        <v>171</v>
      </c>
      <c r="I34" s="8"/>
    </row>
    <row r="35" spans="1:9" ht="16.5" thickTop="1">
      <c r="A35" s="57"/>
      <c r="B35" s="239"/>
      <c r="C35" s="80"/>
      <c r="D35" s="239"/>
      <c r="E35" s="240"/>
      <c r="F35" s="234"/>
      <c r="G35" s="54"/>
      <c r="H35" s="127"/>
      <c r="I35" s="8"/>
    </row>
    <row r="36" spans="1:9" ht="15.75">
      <c r="A36" s="57"/>
      <c r="B36" s="239"/>
      <c r="C36" s="80"/>
      <c r="D36" s="239"/>
      <c r="E36" s="240"/>
      <c r="F36" s="234"/>
      <c r="G36" s="54"/>
      <c r="H36" s="127"/>
      <c r="I36" s="8"/>
    </row>
    <row r="37" spans="1:9" ht="15.75">
      <c r="A37" s="57"/>
      <c r="B37" s="239"/>
      <c r="C37" s="80"/>
      <c r="D37" s="239"/>
      <c r="E37" s="240"/>
      <c r="F37" s="234"/>
      <c r="G37" s="54"/>
      <c r="H37" s="127"/>
      <c r="I37" s="8"/>
    </row>
    <row r="38" spans="1:9" ht="15.75">
      <c r="A38" s="57"/>
      <c r="B38" s="239"/>
      <c r="C38" s="80"/>
      <c r="D38" s="239"/>
      <c r="E38" s="240"/>
      <c r="F38" s="234"/>
      <c r="G38" s="54"/>
      <c r="H38" s="127"/>
      <c r="I38" s="8"/>
    </row>
    <row r="39" spans="1:4" s="3" customFormat="1" ht="16.5" thickBot="1">
      <c r="A39" s="231" t="s">
        <v>16</v>
      </c>
      <c r="B39" s="231"/>
      <c r="C39" s="241"/>
      <c r="D39" s="232"/>
    </row>
    <row r="40" spans="1:9" ht="17.25" thickBot="1" thickTop="1">
      <c r="A40" s="15"/>
      <c r="B40" s="20" t="s">
        <v>17</v>
      </c>
      <c r="C40" s="66"/>
      <c r="D40" s="1"/>
      <c r="E40" s="1"/>
      <c r="F40" s="23"/>
      <c r="G40" s="23"/>
      <c r="H40" s="23"/>
      <c r="I40" s="1"/>
    </row>
    <row r="41" spans="2:9" ht="19.5" thickTop="1">
      <c r="B41" s="1"/>
      <c r="C41" s="1" t="s">
        <v>12</v>
      </c>
      <c r="D41" s="1"/>
      <c r="E41" s="1"/>
      <c r="F41" s="36" t="s">
        <v>228</v>
      </c>
      <c r="G41" s="22"/>
      <c r="H41" s="8" t="s">
        <v>14</v>
      </c>
      <c r="I41" s="1"/>
    </row>
    <row r="42" spans="2:9" ht="18.75">
      <c r="B42" s="1"/>
      <c r="C42" s="1" t="s">
        <v>13</v>
      </c>
      <c r="D42" s="1"/>
      <c r="E42" s="1"/>
      <c r="F42" s="36" t="s">
        <v>229</v>
      </c>
      <c r="G42" s="22"/>
      <c r="H42" s="8" t="s">
        <v>14</v>
      </c>
      <c r="I42" s="1"/>
    </row>
    <row r="43" spans="2:9" ht="15.75">
      <c r="B43" s="20" t="s">
        <v>20</v>
      </c>
      <c r="D43" s="21"/>
      <c r="E43" s="1"/>
      <c r="F43" s="36"/>
      <c r="G43" s="8"/>
      <c r="H43" s="8"/>
      <c r="I43" s="1"/>
    </row>
    <row r="44" spans="2:10" ht="18.75">
      <c r="B44" s="1"/>
      <c r="C44" s="1" t="s">
        <v>12</v>
      </c>
      <c r="D44" s="1"/>
      <c r="E44" s="1"/>
      <c r="F44" s="36" t="s">
        <v>230</v>
      </c>
      <c r="G44" s="22"/>
      <c r="H44" s="8" t="s">
        <v>14</v>
      </c>
      <c r="I44" s="1"/>
      <c r="J44" s="24"/>
    </row>
    <row r="45" spans="2:9" ht="18.75">
      <c r="B45" s="1"/>
      <c r="C45" s="1" t="s">
        <v>21</v>
      </c>
      <c r="D45" s="1"/>
      <c r="E45" s="1"/>
      <c r="F45" s="36" t="s">
        <v>231</v>
      </c>
      <c r="G45" s="22"/>
      <c r="H45" s="8" t="s">
        <v>14</v>
      </c>
      <c r="I45" s="1"/>
    </row>
    <row r="46" spans="2:9" ht="15.75">
      <c r="B46" s="20" t="s">
        <v>19</v>
      </c>
      <c r="D46" s="21"/>
      <c r="E46" s="21"/>
      <c r="F46" s="36"/>
      <c r="G46" s="8"/>
      <c r="H46" s="8"/>
      <c r="I46" s="1"/>
    </row>
    <row r="47" spans="2:9" ht="18.75">
      <c r="B47" s="1"/>
      <c r="C47" s="1" t="s">
        <v>12</v>
      </c>
      <c r="D47" s="1"/>
      <c r="E47" s="1"/>
      <c r="F47" s="36" t="s">
        <v>232</v>
      </c>
      <c r="G47" s="22"/>
      <c r="H47" s="8" t="s">
        <v>14</v>
      </c>
      <c r="I47" s="1"/>
    </row>
    <row r="48" spans="2:9" ht="18.75">
      <c r="B48" s="1"/>
      <c r="C48" s="1" t="s">
        <v>21</v>
      </c>
      <c r="D48" s="1"/>
      <c r="E48" s="1"/>
      <c r="F48" s="36" t="s">
        <v>233</v>
      </c>
      <c r="G48" s="22"/>
      <c r="H48" s="8" t="s">
        <v>14</v>
      </c>
      <c r="I48" s="1"/>
    </row>
    <row r="49" spans="2:9" ht="15.75">
      <c r="B49" s="20" t="s">
        <v>18</v>
      </c>
      <c r="D49" s="21"/>
      <c r="E49" s="21"/>
      <c r="F49" s="36"/>
      <c r="G49" s="8"/>
      <c r="H49" s="8" t="s">
        <v>14</v>
      </c>
      <c r="I49" s="1"/>
    </row>
    <row r="50" spans="2:9" ht="15.75">
      <c r="B50" s="1"/>
      <c r="C50" s="1" t="s">
        <v>31</v>
      </c>
      <c r="D50" s="1"/>
      <c r="E50" s="1"/>
      <c r="F50" s="49" t="s">
        <v>59</v>
      </c>
      <c r="G50" s="22"/>
      <c r="H50" s="8" t="s">
        <v>14</v>
      </c>
      <c r="I50" s="1"/>
    </row>
    <row r="51" spans="2:9" ht="15.75">
      <c r="B51" s="1"/>
      <c r="C51" s="136" t="s">
        <v>178</v>
      </c>
      <c r="D51" s="1"/>
      <c r="E51" s="1"/>
      <c r="F51" s="36" t="s">
        <v>27</v>
      </c>
      <c r="G51" s="22"/>
      <c r="H51" s="8" t="s">
        <v>14</v>
      </c>
      <c r="I51" s="1"/>
    </row>
    <row r="52" spans="2:9" ht="15.75">
      <c r="B52" s="1"/>
      <c r="C52" s="137" t="s">
        <v>179</v>
      </c>
      <c r="D52" s="137"/>
      <c r="E52" s="1"/>
      <c r="I52" s="1"/>
    </row>
    <row r="53" spans="2:9" ht="15.75">
      <c r="B53" s="1"/>
      <c r="D53" s="137"/>
      <c r="F53" s="25" t="s">
        <v>28</v>
      </c>
      <c r="G53" s="302">
        <f>Data!J72</f>
        <v>2.2399999999999998</v>
      </c>
      <c r="H53" s="8" t="s">
        <v>14</v>
      </c>
      <c r="I53" s="1"/>
    </row>
    <row r="54" spans="1:9" ht="15.75">
      <c r="A54" s="68"/>
      <c r="B54" s="69"/>
      <c r="D54" s="69"/>
      <c r="E54" s="70"/>
      <c r="F54" s="71"/>
      <c r="G54" s="72"/>
      <c r="H54" s="23"/>
      <c r="I54" s="1"/>
    </row>
    <row r="55" spans="1:9" ht="16.5" thickBot="1">
      <c r="A55" s="231" t="s">
        <v>24</v>
      </c>
      <c r="B55" s="231"/>
      <c r="C55" s="235"/>
      <c r="D55" s="232"/>
      <c r="E55" s="236"/>
      <c r="F55" s="237"/>
      <c r="G55" s="236"/>
      <c r="H55" s="7"/>
      <c r="I55" s="7"/>
    </row>
    <row r="56" spans="1:9" ht="19.5" thickTop="1">
      <c r="A56" s="74"/>
      <c r="B56" s="77" t="s">
        <v>111</v>
      </c>
      <c r="C56" s="74"/>
      <c r="D56" s="56"/>
      <c r="E56" s="135" t="s">
        <v>242</v>
      </c>
      <c r="F56" s="76"/>
      <c r="G56" s="75"/>
      <c r="H56" s="73">
        <f>((VLOOKUP(Data!E53,Data!F53:G59,2,FALSE)*(VLOOKUP(Data!D99,Data!E99:F113,2,FALSE)))*1.1)</f>
        <v>15.84</v>
      </c>
      <c r="I56" s="23" t="s">
        <v>15</v>
      </c>
    </row>
    <row r="57" spans="1:9" ht="18.75">
      <c r="A57" s="74"/>
      <c r="B57" s="77" t="s">
        <v>177</v>
      </c>
      <c r="C57" s="77"/>
      <c r="D57" s="165"/>
      <c r="E57" s="135" t="s">
        <v>165</v>
      </c>
      <c r="F57" s="76"/>
      <c r="G57" s="75"/>
      <c r="H57" s="73">
        <f>((F30+H33)+H56)</f>
        <v>1395.84</v>
      </c>
      <c r="I57" s="23" t="s">
        <v>15</v>
      </c>
    </row>
    <row r="58" spans="2:6" ht="15.75">
      <c r="B58" s="1" t="s">
        <v>25</v>
      </c>
      <c r="C58" s="77"/>
      <c r="D58" s="1"/>
      <c r="E58" s="1"/>
      <c r="F58" s="1"/>
    </row>
    <row r="59" spans="2:9" ht="18.75">
      <c r="B59" s="1"/>
      <c r="C59" s="137" t="s">
        <v>237</v>
      </c>
      <c r="D59" s="137"/>
      <c r="E59" s="137"/>
      <c r="F59" s="1"/>
      <c r="H59" s="22">
        <f>((F30+H33)*VLOOKUP(Data!B53,Data!C53:D61,2,FALSE))+(H56*VLOOKUP(Data!B53,Data!C53:D61,2,FALSE))</f>
        <v>488.5439999999999</v>
      </c>
      <c r="I59" s="23" t="s">
        <v>26</v>
      </c>
    </row>
    <row r="60" spans="2:9" ht="18.75">
      <c r="B60" s="1" t="s">
        <v>96</v>
      </c>
      <c r="D60" s="1"/>
      <c r="E60" s="1" t="s">
        <v>235</v>
      </c>
      <c r="F60" s="1"/>
      <c r="H60" s="22"/>
      <c r="I60" s="23" t="s">
        <v>97</v>
      </c>
    </row>
    <row r="61" spans="2:7" ht="15.75">
      <c r="B61" s="1" t="s">
        <v>55</v>
      </c>
      <c r="C61" s="1"/>
      <c r="D61" s="1"/>
      <c r="E61" s="23"/>
      <c r="F61" s="23"/>
      <c r="G61" s="7"/>
    </row>
    <row r="62" spans="2:9" ht="15.75">
      <c r="B62" s="1"/>
      <c r="C62" s="1"/>
      <c r="D62" s="1"/>
      <c r="E62" s="23"/>
      <c r="F62"/>
      <c r="G62" s="7"/>
      <c r="H62" s="64"/>
      <c r="I62" s="23"/>
    </row>
    <row r="63" spans="2:8" ht="18.75">
      <c r="B63" s="1"/>
      <c r="C63" s="137" t="s">
        <v>238</v>
      </c>
      <c r="D63" s="1"/>
      <c r="E63" s="354" t="s">
        <v>307</v>
      </c>
      <c r="F63" s="354"/>
      <c r="G63" s="354"/>
      <c r="H63" s="354"/>
    </row>
    <row r="64" spans="3:8" ht="18.75">
      <c r="C64" s="137" t="s">
        <v>239</v>
      </c>
      <c r="D64" s="162"/>
      <c r="E64" s="7"/>
      <c r="H64" s="55"/>
    </row>
    <row r="65" spans="3:10" ht="18.75">
      <c r="C65" s="238" t="s">
        <v>205</v>
      </c>
      <c r="D65" s="23" t="s">
        <v>292</v>
      </c>
      <c r="E65" s="303">
        <f>SQRT((VLOOKUP(Data!I75,Data!J75:K80,2,FALSE)*10000)*4*(VLOOKUP(Data!B53,Data!C53:D61,2,FALSE))*((VLOOKUP(Data!E53,Data!F53:G59,2,FALSE))*(VLOOKUP(Data!E53,Data!F53:G59,2,FALSE)))/(3*H59))</f>
        <v>0.5507279164562449</v>
      </c>
      <c r="F65" s="8" t="s">
        <v>14</v>
      </c>
      <c r="G65" s="54"/>
      <c r="H65" s="55"/>
      <c r="J65" s="56"/>
    </row>
    <row r="66" spans="1:8" ht="16.5" thickBot="1">
      <c r="A66" s="344" t="s">
        <v>99</v>
      </c>
      <c r="B66" s="344"/>
      <c r="C66" s="137"/>
      <c r="D66" s="162"/>
      <c r="F66" s="39" t="s">
        <v>14</v>
      </c>
      <c r="H66" s="234" t="s">
        <v>308</v>
      </c>
    </row>
    <row r="67" spans="2:10" ht="19.5" thickTop="1">
      <c r="B67" s="2" t="s">
        <v>101</v>
      </c>
      <c r="C67" s="137"/>
      <c r="D67" s="162"/>
      <c r="E67" s="7"/>
      <c r="F67" s="234" t="s">
        <v>118</v>
      </c>
      <c r="G67" s="54"/>
      <c r="H67" s="55"/>
      <c r="J67" s="56"/>
    </row>
    <row r="68" spans="3:11" ht="18.75">
      <c r="C68" s="161" t="s">
        <v>241</v>
      </c>
      <c r="E68" s="7"/>
      <c r="F68" s="54"/>
      <c r="G68" s="54"/>
      <c r="H68" s="55"/>
      <c r="K68" s="57"/>
    </row>
    <row r="69" spans="2:9" ht="18.75">
      <c r="B69" s="1" t="s">
        <v>243</v>
      </c>
      <c r="D69" s="1"/>
      <c r="E69" s="353" t="s">
        <v>327</v>
      </c>
      <c r="F69" s="353"/>
      <c r="G69" s="353"/>
      <c r="H69" s="73">
        <f>(VLOOKUP(Data!D99,Data!E99:F113,2,FALSE)*VLOOKUP(Data!B63,Data!C63:D67,2,FALSE)*VLOOKUP(Data!E63,Data!F63:G71,2,FALSE))*1.1</f>
        <v>2.8160000000000003</v>
      </c>
      <c r="I69" s="23" t="s">
        <v>26</v>
      </c>
    </row>
    <row r="70" spans="2:8" ht="15.75">
      <c r="B70" s="1" t="s">
        <v>309</v>
      </c>
      <c r="C70" s="1"/>
      <c r="D70" s="1"/>
      <c r="E70" s="166"/>
      <c r="F70" s="166"/>
      <c r="G70" s="166"/>
      <c r="H70" s="166"/>
    </row>
    <row r="71" spans="2:10" ht="15.75">
      <c r="B71" s="1" t="s">
        <v>310</v>
      </c>
      <c r="C71" s="1"/>
      <c r="D71" s="1"/>
      <c r="E71" s="166"/>
      <c r="F71" s="166"/>
      <c r="G71" s="166"/>
      <c r="H71" s="78">
        <f>H57*VLOOKUP(Data!F84,Data!G84:H96,2,FALSE)+H69</f>
        <v>700.736</v>
      </c>
      <c r="I71" s="23" t="s">
        <v>26</v>
      </c>
      <c r="J71" s="23"/>
    </row>
    <row r="72" spans="2:11" ht="15.75">
      <c r="B72" s="1" t="s">
        <v>56</v>
      </c>
      <c r="C72" s="1"/>
      <c r="D72" s="1"/>
      <c r="E72" s="23"/>
      <c r="F72" s="7"/>
      <c r="G72" s="7"/>
      <c r="J72" s="23"/>
      <c r="K72" s="58"/>
    </row>
    <row r="73" spans="2:11" ht="18.75">
      <c r="B73" s="1"/>
      <c r="C73" s="137" t="s">
        <v>246</v>
      </c>
      <c r="D73" s="1"/>
      <c r="I73" s="94"/>
      <c r="J73" s="23"/>
      <c r="K73" s="58"/>
    </row>
    <row r="74" spans="2:11" ht="18.75">
      <c r="B74" s="1"/>
      <c r="C74" s="137" t="s">
        <v>244</v>
      </c>
      <c r="D74" s="162"/>
      <c r="E74" s="163" t="s">
        <v>205</v>
      </c>
      <c r="F74" s="164" t="s">
        <v>254</v>
      </c>
      <c r="G74" s="7"/>
      <c r="I74" s="94"/>
      <c r="J74" s="23"/>
      <c r="K74" s="58"/>
    </row>
    <row r="75" spans="2:8" ht="18.75">
      <c r="B75" s="1"/>
      <c r="C75" s="161" t="s">
        <v>241</v>
      </c>
      <c r="D75" s="1"/>
      <c r="E75" s="23"/>
      <c r="H75" s="65"/>
    </row>
    <row r="76" spans="2:8" ht="18.75">
      <c r="B76" s="1"/>
      <c r="C76" s="161"/>
      <c r="D76" s="1"/>
      <c r="E76" s="23"/>
      <c r="H76" s="65"/>
    </row>
    <row r="77" spans="2:8" ht="18.75">
      <c r="B77" s="1"/>
      <c r="C77" s="161"/>
      <c r="D77" s="1"/>
      <c r="E77" s="23"/>
      <c r="H77" s="65"/>
    </row>
    <row r="78" spans="2:8" ht="18.75">
      <c r="B78" s="238" t="s">
        <v>205</v>
      </c>
      <c r="C78" s="23" t="s">
        <v>335</v>
      </c>
      <c r="D78" s="301">
        <f>SQRT(((VLOOKUP(Data!I75,Data!J75:K79,2,FALSE)*10000)*(VLOOKUP(Data!B63,Data!C63:D67,2,FALSE))*((VLOOKUP(Data!E63,Data!F63:G71,2,FALSE))*(VLOOKUP(Data!E63,Data!F63:G71,2,FALSE)))*4)/(3*'COFFA SÀN'!H71))</f>
        <v>0.6909158789083569</v>
      </c>
      <c r="E78" s="8" t="s">
        <v>14</v>
      </c>
      <c r="H78" s="65"/>
    </row>
    <row r="79" spans="1:6" ht="16.5" thickBot="1">
      <c r="A79" s="344" t="s">
        <v>103</v>
      </c>
      <c r="B79" s="344"/>
      <c r="C79" s="23"/>
      <c r="D79" s="94"/>
      <c r="E79" s="234" t="s">
        <v>14</v>
      </c>
      <c r="F79" s="2" t="s">
        <v>159</v>
      </c>
    </row>
    <row r="80" spans="2:8" ht="19.5" thickTop="1">
      <c r="B80" s="238"/>
      <c r="C80" s="23"/>
      <c r="D80" s="94"/>
      <c r="E80" s="8"/>
      <c r="H80" s="65"/>
    </row>
    <row r="81" spans="2:8" ht="18.75">
      <c r="B81" s="238"/>
      <c r="C81" s="23"/>
      <c r="D81" s="94"/>
      <c r="E81" s="8"/>
      <c r="H81" s="65"/>
    </row>
    <row r="82" spans="2:8" ht="18.75">
      <c r="B82" s="238"/>
      <c r="C82" s="23"/>
      <c r="D82" s="94"/>
      <c r="E82" s="8"/>
      <c r="H82" s="65"/>
    </row>
    <row r="83" spans="2:8" ht="18.75">
      <c r="B83" s="238"/>
      <c r="C83" s="23"/>
      <c r="D83" s="94"/>
      <c r="E83" s="8"/>
      <c r="H83" s="65"/>
    </row>
    <row r="84" spans="2:8" ht="18.75">
      <c r="B84" s="238"/>
      <c r="C84" s="23"/>
      <c r="D84" s="94"/>
      <c r="E84" s="8"/>
      <c r="H84" s="65"/>
    </row>
    <row r="85" spans="2:8" ht="18.75">
      <c r="B85" s="238"/>
      <c r="C85" s="23"/>
      <c r="D85" s="94"/>
      <c r="E85" s="8"/>
      <c r="H85" s="65"/>
    </row>
    <row r="86" spans="2:8" ht="18.75">
      <c r="B86" s="238"/>
      <c r="C86" s="23"/>
      <c r="D86" s="94"/>
      <c r="E86" s="8"/>
      <c r="H86" s="65"/>
    </row>
    <row r="87" spans="2:8" ht="18.75">
      <c r="B87" s="238"/>
      <c r="C87" s="23"/>
      <c r="D87" s="94"/>
      <c r="E87" s="8"/>
      <c r="H87" s="65"/>
    </row>
    <row r="88" spans="2:12" ht="16.5" thickBot="1">
      <c r="B88" s="242" t="s">
        <v>162</v>
      </c>
      <c r="C88" s="242"/>
      <c r="D88" s="242"/>
      <c r="E88" s="242"/>
      <c r="F88" s="243"/>
      <c r="L88" s="18"/>
    </row>
    <row r="89" spans="2:12" ht="19.5" thickTop="1">
      <c r="B89" s="1" t="s">
        <v>120</v>
      </c>
      <c r="C89" s="23"/>
      <c r="D89" s="1"/>
      <c r="E89" s="1"/>
      <c r="G89" s="355" t="s">
        <v>97</v>
      </c>
      <c r="H89" s="355"/>
      <c r="L89" s="18"/>
    </row>
    <row r="90" spans="3:9" ht="15.75">
      <c r="C90" s="213" t="s">
        <v>245</v>
      </c>
      <c r="D90" s="56"/>
      <c r="E90" s="80" t="s">
        <v>32</v>
      </c>
      <c r="F90" s="88">
        <f>VLOOKUP(Data!I52,Data!J52:K71,2,FALSE)/4</f>
        <v>0.8</v>
      </c>
      <c r="G90" s="56"/>
      <c r="H90" s="56"/>
      <c r="I90" s="57"/>
    </row>
    <row r="91" spans="3:9" ht="15.75">
      <c r="C91" s="167" t="s">
        <v>333</v>
      </c>
      <c r="D91" s="56"/>
      <c r="E91" s="80" t="s">
        <v>61</v>
      </c>
      <c r="F91" s="88">
        <f>G53/F90</f>
        <v>2.7999999999999994</v>
      </c>
      <c r="G91" s="89" t="s">
        <v>311</v>
      </c>
      <c r="H91" s="56"/>
      <c r="I91" s="57"/>
    </row>
    <row r="92" spans="2:9" ht="16.5" thickBot="1">
      <c r="B92" s="104" t="s">
        <v>112</v>
      </c>
      <c r="E92" s="80"/>
      <c r="F92" s="80"/>
      <c r="G92" s="80"/>
      <c r="H92" s="56"/>
      <c r="I92" s="57"/>
    </row>
    <row r="93" spans="2:9" ht="16.5" thickTop="1">
      <c r="B93" s="2" t="s">
        <v>113</v>
      </c>
      <c r="C93" s="56"/>
      <c r="D93" s="56"/>
      <c r="E93" s="101" t="s">
        <v>139</v>
      </c>
      <c r="F93" s="264">
        <f>VLOOKUP(Data!Q36,Data!R37:T57,3,FALSE)</f>
        <v>1</v>
      </c>
      <c r="G93" s="80"/>
      <c r="H93"/>
      <c r="I93" s="57"/>
    </row>
    <row r="94" spans="2:9" ht="15.75">
      <c r="B94" s="24" t="s">
        <v>116</v>
      </c>
      <c r="C94" s="56"/>
      <c r="D94" s="87">
        <f>F91</f>
        <v>2.7999999999999994</v>
      </c>
      <c r="E94" s="101" t="s">
        <v>114</v>
      </c>
      <c r="F94" s="292">
        <f>((D94-VLOOKUP(Data!Q36,Data!R37:S57,2,FALSE))/(VLOOKUP(Data!P36,Data!R37:S57,2,FALSE)-VLOOKUP(Data!Q36,Data!R37:S57,2,FALSE)))*(F95-F93)+F93</f>
        <v>0.9972</v>
      </c>
      <c r="G94" s="80"/>
      <c r="H94" s="56"/>
      <c r="I94" s="57"/>
    </row>
    <row r="95" spans="2:9" ht="15.75">
      <c r="B95" s="2" t="s">
        <v>240</v>
      </c>
      <c r="C95" s="24"/>
      <c r="D95" s="56"/>
      <c r="E95" s="101" t="s">
        <v>140</v>
      </c>
      <c r="F95" s="264">
        <f>(VLOOKUP(Data!P36,Data!R37:T57,3,FALSE))</f>
        <v>0.99</v>
      </c>
      <c r="G95" s="80"/>
      <c r="H95" s="56"/>
      <c r="I95" s="57"/>
    </row>
    <row r="96" spans="3:9" ht="15.75">
      <c r="C96" s="56"/>
      <c r="D96" s="84"/>
      <c r="E96" s="81" t="s">
        <v>314</v>
      </c>
      <c r="F96" s="88">
        <f>VLOOKUP(Data!B85,Data!C85:D89,2,FALSE)</f>
        <v>0.08</v>
      </c>
      <c r="G96" s="80" t="s">
        <v>14</v>
      </c>
      <c r="H96" s="56"/>
      <c r="I96" s="57"/>
    </row>
    <row r="97" spans="3:9" ht="18.75">
      <c r="C97" s="158" t="s">
        <v>313</v>
      </c>
      <c r="D97" s="158"/>
      <c r="E97" s="158"/>
      <c r="F97" s="88">
        <f>((F96/2)^2)*3.14</f>
        <v>0.005024000000000001</v>
      </c>
      <c r="G97" s="80" t="s">
        <v>60</v>
      </c>
      <c r="H97" s="56"/>
      <c r="I97" s="57"/>
    </row>
    <row r="98" spans="3:7" ht="18.75">
      <c r="C98" s="158" t="s">
        <v>312</v>
      </c>
      <c r="F98" s="88">
        <f>H71*(VLOOKUP(Data!J84,Data!K84:L96,2,FALSE))</f>
        <v>420.4416</v>
      </c>
      <c r="G98" s="80" t="s">
        <v>30</v>
      </c>
    </row>
    <row r="99" spans="3:9" ht="15.75">
      <c r="C99" s="158" t="s">
        <v>223</v>
      </c>
      <c r="D99" s="216"/>
      <c r="E99" s="216"/>
      <c r="F99" s="159">
        <f>2*F98+(VLOOKUP(Data!B74,Data!C74:D78,2,FALSE)*(VLOOKUP(Data!E74,Data!F74:G81,2,FALSE))*(VLOOKUP(Data!D99,Data!E99:F113,2,FALSE))*1.1)</f>
        <v>847.2192</v>
      </c>
      <c r="G99" s="80" t="s">
        <v>29</v>
      </c>
      <c r="H99" s="56"/>
      <c r="I99" s="57"/>
    </row>
    <row r="100" spans="2:9" ht="18.75">
      <c r="B100" s="2" t="s">
        <v>117</v>
      </c>
      <c r="D100" s="56"/>
      <c r="E100" s="80"/>
      <c r="F100" s="80"/>
      <c r="G100" s="80" t="s">
        <v>119</v>
      </c>
      <c r="H100" s="56"/>
      <c r="I100" s="57"/>
    </row>
    <row r="101" spans="3:9" ht="19.5" thickBot="1">
      <c r="C101" s="56"/>
      <c r="D101" s="136" t="s">
        <v>247</v>
      </c>
      <c r="E101" s="80"/>
      <c r="F101" s="95">
        <f>F99/(F94*F97*10000)</f>
        <v>16.91078970161037</v>
      </c>
      <c r="G101" s="80" t="s">
        <v>121</v>
      </c>
      <c r="H101" s="56"/>
      <c r="I101" s="57"/>
    </row>
    <row r="102" spans="3:9" ht="17.25" thickBot="1" thickTop="1">
      <c r="C102" s="82"/>
      <c r="D102" s="86"/>
      <c r="E102" s="102" t="s">
        <v>124</v>
      </c>
      <c r="F102" s="119" t="s">
        <v>123</v>
      </c>
      <c r="G102" s="119"/>
      <c r="H102" s="119"/>
      <c r="I102" s="120"/>
    </row>
    <row r="103" spans="3:9" ht="17.25" thickBot="1" thickTop="1">
      <c r="C103" s="90" t="s">
        <v>122</v>
      </c>
      <c r="D103" s="86"/>
      <c r="E103" s="103" t="s">
        <v>125</v>
      </c>
      <c r="F103" s="335" t="s">
        <v>126</v>
      </c>
      <c r="G103" s="335"/>
      <c r="H103" s="335"/>
      <c r="I103" s="335"/>
    </row>
    <row r="104" spans="2:9" ht="16.5" thickTop="1">
      <c r="B104" s="2" t="s">
        <v>127</v>
      </c>
      <c r="C104" s="82"/>
      <c r="D104" s="86"/>
      <c r="E104" s="80"/>
      <c r="F104" s="85"/>
      <c r="G104" s="85"/>
      <c r="H104" s="85"/>
      <c r="I104" s="57"/>
    </row>
    <row r="105" spans="2:9" ht="19.5" thickBot="1">
      <c r="B105" s="91" t="str">
        <f>IF(F101&lt;(VLOOKUP(Data!H75,Data!J75:K80,2,FALSE)),F102,F103)</f>
        <v>Lấy tiết diện cột với giá trị đầu</v>
      </c>
      <c r="C105" s="244"/>
      <c r="D105" s="92"/>
      <c r="E105" s="336" t="s">
        <v>158</v>
      </c>
      <c r="F105" s="336"/>
      <c r="G105" s="336"/>
      <c r="H105" s="293">
        <f>F96</f>
        <v>0.08</v>
      </c>
      <c r="I105" s="123" t="s">
        <v>14</v>
      </c>
    </row>
    <row r="106" spans="3:9" ht="13.5" thickTop="1">
      <c r="C106" s="7"/>
      <c r="D106" s="57"/>
      <c r="E106" s="57" t="s">
        <v>104</v>
      </c>
      <c r="F106" s="124">
        <f>2*VLOOKUP(Data!F84,Data!G84:H96,2,FALSE)</f>
        <v>1</v>
      </c>
      <c r="G106" s="118" t="s">
        <v>14</v>
      </c>
      <c r="H106" s="57"/>
      <c r="I106" s="57"/>
    </row>
    <row r="107" spans="1:9" ht="16.5" thickBot="1">
      <c r="A107" s="105" t="s">
        <v>128</v>
      </c>
      <c r="B107" s="106"/>
      <c r="C107" s="57"/>
      <c r="D107" s="57"/>
      <c r="E107" s="57"/>
      <c r="F107" s="57"/>
      <c r="G107" s="57"/>
      <c r="H107" s="57"/>
      <c r="I107" s="57"/>
    </row>
    <row r="108" spans="1:9" ht="16.5" thickTop="1">
      <c r="A108" s="74"/>
      <c r="B108" s="1" t="s">
        <v>138</v>
      </c>
      <c r="C108" s="233"/>
      <c r="D108" s="96"/>
      <c r="E108" s="96"/>
      <c r="F108" s="96"/>
      <c r="G108" s="96"/>
      <c r="H108" s="96"/>
      <c r="I108" s="96"/>
    </row>
    <row r="109" spans="1:8" ht="18.75">
      <c r="A109" s="1"/>
      <c r="B109" s="137" t="s">
        <v>224</v>
      </c>
      <c r="C109" s="96"/>
      <c r="D109" s="96"/>
      <c r="H109" s="96"/>
    </row>
    <row r="110" spans="1:3" ht="15.75">
      <c r="A110" s="1"/>
      <c r="B110" s="168" t="s">
        <v>236</v>
      </c>
      <c r="C110" s="162" t="s">
        <v>250</v>
      </c>
    </row>
    <row r="111" spans="1:10" ht="16.5">
      <c r="A111" s="1"/>
      <c r="B111" s="98" t="s">
        <v>236</v>
      </c>
      <c r="C111" s="78">
        <f>(H71+((VLOOKUP(Data!B74,Data!C74:D78,2,FALSE)*(VLOOKUP(Data!E74,Data!F74:G81,2,FALSE)))*(VLOOKUP(Data!D99,Data!E100:F113,2,FALSE))))*F106</f>
        <v>706.496</v>
      </c>
      <c r="D111" s="2" t="s">
        <v>171</v>
      </c>
      <c r="G111" s="99"/>
      <c r="H111" s="96"/>
      <c r="I111" s="98"/>
      <c r="J111" s="58"/>
    </row>
    <row r="112" spans="1:10" ht="15.75">
      <c r="A112" s="1"/>
      <c r="B112" s="160" t="s">
        <v>248</v>
      </c>
      <c r="C112" s="162"/>
      <c r="D112" s="160">
        <f>1.2*10^6</f>
        <v>1200000</v>
      </c>
      <c r="I112" s="98"/>
      <c r="J112" s="58"/>
    </row>
    <row r="113" spans="1:10" ht="15.75">
      <c r="A113" s="1"/>
      <c r="B113" s="160"/>
      <c r="C113" s="162"/>
      <c r="D113" s="160"/>
      <c r="E113" s="160"/>
      <c r="F113" s="160"/>
      <c r="G113" s="99"/>
      <c r="H113" s="96"/>
      <c r="I113" s="98"/>
      <c r="J113" s="58"/>
    </row>
    <row r="114" spans="1:10" ht="18.75">
      <c r="A114" s="1"/>
      <c r="B114" s="160" t="s">
        <v>249</v>
      </c>
      <c r="C114" s="160" t="s">
        <v>337</v>
      </c>
      <c r="D114" s="99">
        <f>(VLOOKUP(Data!B74,Data!C74:D78,2,FALSE)*(VLOOKUP(Data!E74,Data!F74:G81,2,FALSE)^3))*100000000/12</f>
        <v>864</v>
      </c>
      <c r="E114" s="96" t="s">
        <v>137</v>
      </c>
      <c r="F114" s="160"/>
      <c r="G114" s="99"/>
      <c r="H114" s="96"/>
      <c r="I114" s="98"/>
      <c r="J114" s="58"/>
    </row>
    <row r="115" spans="1:8" ht="15.75">
      <c r="A115" s="1"/>
      <c r="B115" s="137" t="s">
        <v>129</v>
      </c>
      <c r="C115" s="1"/>
      <c r="D115" s="99">
        <f>3*F106*100/1000</f>
        <v>0.3</v>
      </c>
      <c r="E115" s="100" t="s">
        <v>130</v>
      </c>
      <c r="F115" s="342" t="s">
        <v>132</v>
      </c>
      <c r="G115" s="96" t="s">
        <v>133</v>
      </c>
      <c r="H115" s="96" t="s">
        <v>134</v>
      </c>
    </row>
    <row r="116" spans="1:9" ht="15.75">
      <c r="A116" s="1"/>
      <c r="B116" s="1" t="s">
        <v>131</v>
      </c>
      <c r="C116" s="160"/>
      <c r="D116" s="97">
        <f>5*C111*((F106*100)^4)/(384*10000*(1.2*10^6)*D114)</f>
        <v>8.872653034979424E-05</v>
      </c>
      <c r="E116" s="100" t="s">
        <v>130</v>
      </c>
      <c r="F116" s="342"/>
      <c r="G116" s="96" t="s">
        <v>135</v>
      </c>
      <c r="H116" s="96" t="s">
        <v>136</v>
      </c>
      <c r="I116" s="96"/>
    </row>
    <row r="117" spans="1:9" ht="15.75">
      <c r="A117" s="1"/>
      <c r="B117" s="1" t="s">
        <v>127</v>
      </c>
      <c r="C117" s="337" t="str">
        <f>IF(D116&lt;D115,H115,H116)</f>
        <v>Thoả</v>
      </c>
      <c r="D117" s="338"/>
      <c r="E117" s="238" t="s">
        <v>205</v>
      </c>
      <c r="F117" s="96" t="s">
        <v>261</v>
      </c>
      <c r="G117" s="96"/>
      <c r="H117" s="96"/>
      <c r="I117" s="96"/>
    </row>
    <row r="118" spans="1:8" ht="18.75" customHeight="1" thickBot="1">
      <c r="A118" s="105" t="s">
        <v>163</v>
      </c>
      <c r="B118" s="126"/>
      <c r="C118" s="7"/>
      <c r="F118" s="59"/>
      <c r="G118" s="19"/>
      <c r="H118" s="83"/>
    </row>
    <row r="119" spans="1:8" ht="18.75" customHeight="1" thickBot="1" thickTop="1">
      <c r="A119" s="125"/>
      <c r="B119" s="60"/>
      <c r="C119" s="60"/>
      <c r="D119" s="59"/>
      <c r="E119" s="59"/>
      <c r="F119" s="59"/>
      <c r="G119" s="19"/>
      <c r="H119" s="83"/>
    </row>
    <row r="120" spans="2:8" ht="18.75" customHeight="1" thickBot="1">
      <c r="B120" s="306" t="s">
        <v>160</v>
      </c>
      <c r="C120" s="306" t="s">
        <v>161</v>
      </c>
      <c r="D120" s="306"/>
      <c r="E120" s="306" t="s">
        <v>148</v>
      </c>
      <c r="F120" s="306" t="s">
        <v>216</v>
      </c>
      <c r="G120" s="121"/>
      <c r="H120" s="122"/>
    </row>
    <row r="121" spans="2:8" ht="18.75" customHeight="1" thickBot="1">
      <c r="B121" s="311">
        <v>1</v>
      </c>
      <c r="C121" s="333" t="s">
        <v>358</v>
      </c>
      <c r="D121" s="334"/>
      <c r="E121" s="314">
        <f>100*VLOOKUP(Data!B53,Data!C53:D61,2,FALSE)</f>
        <v>35</v>
      </c>
      <c r="F121" s="315">
        <f>100*VLOOKUP(Data!E53,Data!F53:G59,2,FALSE)</f>
        <v>1.7999999999999998</v>
      </c>
      <c r="G121" s="121"/>
      <c r="H121" s="122"/>
    </row>
    <row r="122" spans="2:8" ht="18.75" customHeight="1" thickBot="1">
      <c r="B122" s="310">
        <v>2</v>
      </c>
      <c r="C122" s="339" t="s">
        <v>365</v>
      </c>
      <c r="D122" s="340"/>
      <c r="E122" s="309">
        <f>100*VLOOKUP(Data!B63,Data!C63:D67,2,FALSE)</f>
        <v>4</v>
      </c>
      <c r="F122" s="316">
        <f>100*VLOOKUP(Data!E63,Data!F63:G71,2,FALSE)</f>
        <v>8</v>
      </c>
      <c r="G122" s="121"/>
      <c r="H122" s="122"/>
    </row>
    <row r="123" spans="2:8" ht="18.75" customHeight="1" thickBot="1">
      <c r="B123" s="310">
        <v>3</v>
      </c>
      <c r="C123" s="339" t="s">
        <v>366</v>
      </c>
      <c r="D123" s="340"/>
      <c r="E123" s="309">
        <f>100*VLOOKUP(Data!B74,Data!C74:D78,2,FALSE)</f>
        <v>6</v>
      </c>
      <c r="F123" s="316">
        <f>100*VLOOKUP(Data!E74,Data!F74:G81,2,FALSE)</f>
        <v>12</v>
      </c>
      <c r="G123" s="121"/>
      <c r="H123" s="122"/>
    </row>
    <row r="124" spans="2:8" ht="18.75" customHeight="1" thickBot="1">
      <c r="B124" s="310">
        <v>4</v>
      </c>
      <c r="C124" s="339" t="s">
        <v>373</v>
      </c>
      <c r="D124" s="340"/>
      <c r="E124" s="340"/>
      <c r="F124" s="316">
        <f>H105*100</f>
        <v>8</v>
      </c>
      <c r="G124" s="283"/>
      <c r="H124" s="122"/>
    </row>
    <row r="125" spans="1:11" ht="18.75" customHeight="1" thickBot="1">
      <c r="A125" s="48"/>
      <c r="B125" s="310">
        <v>5</v>
      </c>
      <c r="C125" s="339" t="s">
        <v>369</v>
      </c>
      <c r="D125" s="340"/>
      <c r="E125" s="340"/>
      <c r="F125" s="329">
        <f>VLOOKUP(Data!F84,Data!G84:H96,2,FALSE)</f>
        <v>0.5</v>
      </c>
      <c r="G125" s="80"/>
      <c r="H125" s="59"/>
      <c r="I125" s="59"/>
      <c r="J125" s="59"/>
      <c r="K125" s="59"/>
    </row>
    <row r="126" spans="1:7" ht="16.5" thickBot="1">
      <c r="A126" s="53"/>
      <c r="B126" s="310">
        <v>6</v>
      </c>
      <c r="C126" s="339" t="s">
        <v>370</v>
      </c>
      <c r="D126" s="340"/>
      <c r="E126" s="340"/>
      <c r="F126" s="329">
        <f>VLOOKUP(Data!J84,Data!K84:L96,2,FALSE)</f>
        <v>0.6</v>
      </c>
      <c r="G126" s="80"/>
    </row>
    <row r="127" spans="1:7" ht="16.5" thickBot="1">
      <c r="A127" s="53"/>
      <c r="B127" s="310">
        <v>7</v>
      </c>
      <c r="C127" s="339" t="s">
        <v>371</v>
      </c>
      <c r="D127" s="340"/>
      <c r="E127" s="340"/>
      <c r="F127" s="329">
        <f>F106</f>
        <v>1</v>
      </c>
      <c r="G127" s="80"/>
    </row>
    <row r="128" spans="1:7" ht="19.5" thickBot="1">
      <c r="A128" s="53"/>
      <c r="B128" s="310">
        <v>8</v>
      </c>
      <c r="C128" s="331" t="s">
        <v>372</v>
      </c>
      <c r="D128" s="332"/>
      <c r="E128" s="332"/>
      <c r="F128" s="330">
        <f>F23</f>
        <v>7.839999999999999</v>
      </c>
      <c r="G128" s="80"/>
    </row>
    <row r="129" spans="1:12" ht="15.75">
      <c r="A129" s="214" t="s">
        <v>315</v>
      </c>
      <c r="B129" s="215"/>
      <c r="E129" s="215"/>
      <c r="F129" s="215"/>
      <c r="G129" s="284"/>
      <c r="H129" s="215"/>
      <c r="I129" s="215"/>
      <c r="J129" s="215"/>
      <c r="K129" s="215"/>
      <c r="L129" s="215"/>
    </row>
    <row r="130" spans="1:12" ht="15.75">
      <c r="A130" s="214"/>
      <c r="B130" s="215" t="s">
        <v>316</v>
      </c>
      <c r="C130" s="245"/>
      <c r="E130" s="215"/>
      <c r="F130" s="215"/>
      <c r="G130" s="215"/>
      <c r="H130" s="215"/>
      <c r="I130" s="215"/>
      <c r="J130" s="215"/>
      <c r="K130" s="215"/>
      <c r="L130" s="215"/>
    </row>
    <row r="131" spans="3:8" ht="13.5" customHeight="1">
      <c r="C131" s="215"/>
      <c r="D131" s="38"/>
      <c r="E131" s="62" t="s">
        <v>108</v>
      </c>
      <c r="F131" s="38"/>
      <c r="G131" s="38"/>
      <c r="H131" s="38"/>
    </row>
    <row r="132" spans="2:13" ht="23.25">
      <c r="B132" s="246"/>
      <c r="C132" s="61"/>
      <c r="D132" s="79"/>
      <c r="E132" s="79"/>
      <c r="F132" s="79"/>
      <c r="G132" s="79"/>
      <c r="H132" s="5"/>
      <c r="I132" s="5"/>
      <c r="J132" s="5"/>
      <c r="K132" s="5"/>
      <c r="L132" s="5"/>
      <c r="M132" s="51"/>
    </row>
    <row r="133" spans="3:13" ht="23.25">
      <c r="C133" s="79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ht="12.75">
      <c r="C134" s="51"/>
    </row>
  </sheetData>
  <sheetProtection formatCells="0" formatColumns="0" formatRows="0" insertColumns="0" insertRows="0" insertHyperlinks="0" deleteColumns="0" deleteRows="0" sort="0" autoFilter="0" pivotTables="0"/>
  <protectedRanges>
    <protectedRange password="CEEF" sqref="F30:H30" name="Range1"/>
  </protectedRanges>
  <mergeCells count="26">
    <mergeCell ref="G89:H89"/>
    <mergeCell ref="C127:E127"/>
    <mergeCell ref="C124:E124"/>
    <mergeCell ref="B28:E28"/>
    <mergeCell ref="B29:E29"/>
    <mergeCell ref="B30:E30"/>
    <mergeCell ref="B33:D33"/>
    <mergeCell ref="B1:J1"/>
    <mergeCell ref="F115:F116"/>
    <mergeCell ref="A11:B11"/>
    <mergeCell ref="A66:B66"/>
    <mergeCell ref="A79:B79"/>
    <mergeCell ref="E34:F34"/>
    <mergeCell ref="B32:D32"/>
    <mergeCell ref="F30:H30"/>
    <mergeCell ref="E69:G69"/>
    <mergeCell ref="E63:H63"/>
    <mergeCell ref="C128:E128"/>
    <mergeCell ref="C121:D121"/>
    <mergeCell ref="F103:I103"/>
    <mergeCell ref="E105:G105"/>
    <mergeCell ref="C117:D117"/>
    <mergeCell ref="C125:E125"/>
    <mergeCell ref="C126:E126"/>
    <mergeCell ref="C122:D122"/>
    <mergeCell ref="C123:D123"/>
  </mergeCells>
  <dataValidations count="1">
    <dataValidation allowBlank="1" showInputMessage="1" showErrorMessage="1" prompt="Không được nhập ô này" sqref="M24 O24"/>
  </dataValidation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1275501" r:id="rId1"/>
    <oleObject progId="AutoCAD.Drawing.16" shapeId="4974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24"/>
  </sheetPr>
  <dimension ref="A1:J139"/>
  <sheetViews>
    <sheetView showGridLines="0" zoomScale="130" zoomScaleNormal="130" zoomScalePageLayoutView="0" workbookViewId="0" topLeftCell="A1">
      <selection activeCell="L7" sqref="L7"/>
    </sheetView>
  </sheetViews>
  <sheetFormatPr defaultColWidth="9.140625" defaultRowHeight="12.75"/>
  <cols>
    <col min="2" max="2" width="9.421875" style="0" customWidth="1"/>
    <col min="4" max="4" width="16.57421875" style="0" bestFit="1" customWidth="1"/>
    <col min="6" max="6" width="12.421875" style="0" bestFit="1" customWidth="1"/>
  </cols>
  <sheetData>
    <row r="1" ht="23.25">
      <c r="D1" s="112" t="s">
        <v>142</v>
      </c>
    </row>
    <row r="2" spans="1:4" s="113" customFormat="1" ht="18.75" thickBot="1">
      <c r="A2" s="142" t="s">
        <v>144</v>
      </c>
      <c r="B2" s="141"/>
      <c r="C2" s="141"/>
      <c r="D2" s="141"/>
    </row>
    <row r="3" spans="2:4" ht="15.75" thickTop="1">
      <c r="B3" s="143" t="s">
        <v>143</v>
      </c>
      <c r="C3" s="16"/>
      <c r="D3" s="16"/>
    </row>
    <row r="4" spans="2:7" ht="15">
      <c r="B4" t="s">
        <v>149</v>
      </c>
      <c r="C4" s="16"/>
      <c r="D4" s="16"/>
      <c r="E4" s="144" t="s">
        <v>150</v>
      </c>
      <c r="G4" s="144" t="s">
        <v>54</v>
      </c>
    </row>
    <row r="5" spans="3:7" ht="15">
      <c r="C5" s="16"/>
      <c r="D5" s="16"/>
      <c r="E5" s="144" t="s">
        <v>151</v>
      </c>
      <c r="G5" s="144" t="s">
        <v>54</v>
      </c>
    </row>
    <row r="6" spans="2:7" ht="15">
      <c r="B6" t="s">
        <v>218</v>
      </c>
      <c r="C6" s="16"/>
      <c r="D6" s="16"/>
      <c r="E6" s="144" t="s">
        <v>216</v>
      </c>
      <c r="G6" s="144" t="s">
        <v>14</v>
      </c>
    </row>
    <row r="7" spans="2:7" ht="15">
      <c r="B7" s="143" t="s">
        <v>188</v>
      </c>
      <c r="C7" s="16"/>
      <c r="D7" s="16"/>
      <c r="E7" s="139"/>
      <c r="G7" s="144"/>
    </row>
    <row r="8" spans="3:7" ht="15">
      <c r="C8" s="17" t="s">
        <v>189</v>
      </c>
      <c r="D8" s="17"/>
      <c r="E8" s="144" t="s">
        <v>87</v>
      </c>
      <c r="G8" s="144" t="s">
        <v>14</v>
      </c>
    </row>
    <row r="9" spans="3:7" ht="15">
      <c r="C9" s="17" t="s">
        <v>190</v>
      </c>
      <c r="D9" s="17"/>
      <c r="E9" s="144" t="s">
        <v>88</v>
      </c>
      <c r="G9" s="144" t="s">
        <v>14</v>
      </c>
    </row>
    <row r="10" spans="3:7" ht="18">
      <c r="C10" s="17" t="s">
        <v>197</v>
      </c>
      <c r="D10" s="29"/>
      <c r="E10" s="17"/>
      <c r="G10" s="144" t="s">
        <v>199</v>
      </c>
    </row>
    <row r="11" spans="2:5" ht="15">
      <c r="B11" s="16" t="s">
        <v>153</v>
      </c>
      <c r="C11" s="17"/>
      <c r="D11" s="17"/>
      <c r="E11" s="17"/>
    </row>
    <row r="12" ht="12.75">
      <c r="B12" s="114"/>
    </row>
    <row r="13" spans="6:8" ht="15">
      <c r="F13" s="29"/>
      <c r="G13" s="29"/>
      <c r="H13" s="29"/>
    </row>
    <row r="14" spans="5:7" ht="18">
      <c r="E14" s="17" t="s">
        <v>157</v>
      </c>
      <c r="F14" s="146">
        <f>VLOOKUP(Data!G154,T,3,FALSE)</f>
        <v>200</v>
      </c>
      <c r="G14" s="17" t="s">
        <v>200</v>
      </c>
    </row>
    <row r="16" ht="15">
      <c r="B16" s="29"/>
    </row>
    <row r="17" spans="6:7" ht="15">
      <c r="F17" s="376" t="str">
        <f>VLOOKUP(Data!G157,A,3,FALSE)</f>
        <v>P = 1500 x H + Pđ</v>
      </c>
      <c r="G17" s="376"/>
    </row>
    <row r="18" spans="2:6" ht="18">
      <c r="B18" s="29"/>
      <c r="C18" s="29"/>
      <c r="D18" s="101" t="s">
        <v>187</v>
      </c>
      <c r="E18" s="145">
        <v>2500</v>
      </c>
      <c r="F18" s="144" t="s">
        <v>201</v>
      </c>
    </row>
    <row r="19" spans="2:6" ht="15">
      <c r="B19" s="17" t="s">
        <v>184</v>
      </c>
      <c r="C19" s="29"/>
      <c r="D19" s="144" t="s">
        <v>185</v>
      </c>
      <c r="E19" s="145">
        <v>0.7</v>
      </c>
      <c r="F19" s="144" t="s">
        <v>14</v>
      </c>
    </row>
    <row r="20" spans="2:6" ht="15">
      <c r="B20" s="29"/>
      <c r="C20" s="29"/>
      <c r="D20" s="144"/>
      <c r="E20" s="145"/>
      <c r="F20" s="144"/>
    </row>
    <row r="21" spans="2:6" ht="18">
      <c r="B21" s="17" t="s">
        <v>186</v>
      </c>
      <c r="C21" s="29"/>
      <c r="D21" s="144" t="s">
        <v>192</v>
      </c>
      <c r="E21" s="145">
        <f>VLOOKUP(Data!G157,Data!C157:F158,4,FALSE)</f>
        <v>1250</v>
      </c>
      <c r="F21" s="144" t="s">
        <v>200</v>
      </c>
    </row>
    <row r="22" spans="1:2" ht="16.5" thickBot="1">
      <c r="A22" s="142" t="s">
        <v>195</v>
      </c>
      <c r="B22" s="149"/>
    </row>
    <row r="23" spans="1:2" ht="16.5" thickTop="1">
      <c r="A23" s="247"/>
      <c r="B23" s="156"/>
    </row>
    <row r="24" spans="1:2" ht="13.5" thickBot="1">
      <c r="A24" s="373" t="s">
        <v>196</v>
      </c>
      <c r="B24" s="373"/>
    </row>
    <row r="25" spans="1:2" ht="16.5" thickTop="1">
      <c r="A25" s="247"/>
      <c r="B25" s="156"/>
    </row>
    <row r="26" spans="1:2" ht="15.75">
      <c r="A26" s="247"/>
      <c r="B26" s="156"/>
    </row>
    <row r="27" spans="1:2" ht="15.75">
      <c r="A27" s="247"/>
      <c r="B27" s="156"/>
    </row>
    <row r="28" spans="1:2" ht="15.75">
      <c r="A28" s="247"/>
      <c r="B28" s="156"/>
    </row>
    <row r="29" spans="1:2" ht="15.75">
      <c r="A29" s="247"/>
      <c r="B29" s="156"/>
    </row>
    <row r="30" spans="1:2" ht="15.75">
      <c r="A30" s="247"/>
      <c r="B30" s="156"/>
    </row>
    <row r="31" spans="1:2" ht="15.75">
      <c r="A31" s="247"/>
      <c r="B31" s="156"/>
    </row>
    <row r="33" spans="2:7" ht="15">
      <c r="B33" s="17" t="s">
        <v>193</v>
      </c>
      <c r="C33" s="17"/>
      <c r="D33" s="17"/>
      <c r="E33" s="17"/>
      <c r="F33" s="17"/>
      <c r="G33" s="16"/>
    </row>
    <row r="34" spans="2:7" ht="15">
      <c r="B34" s="16"/>
      <c r="C34" s="16"/>
      <c r="D34" s="377" t="s">
        <v>194</v>
      </c>
      <c r="E34" s="377"/>
      <c r="F34" s="146">
        <f>E21*VLOOKUP(Data!A53,Data!C53:D61,2,FALSE)</f>
        <v>375</v>
      </c>
      <c r="G34" s="144" t="s">
        <v>30</v>
      </c>
    </row>
    <row r="37" spans="2:5" ht="18.75">
      <c r="B37" s="147" t="s">
        <v>202</v>
      </c>
      <c r="C37" s="29"/>
      <c r="E37" s="148">
        <v>1</v>
      </c>
    </row>
    <row r="38" spans="2:5" ht="15">
      <c r="B38" s="143" t="s">
        <v>203</v>
      </c>
      <c r="E38" s="148"/>
    </row>
    <row r="39" spans="2:5" ht="19.5">
      <c r="B39" s="29"/>
      <c r="C39" s="374" t="s">
        <v>206</v>
      </c>
      <c r="D39" s="374"/>
      <c r="E39" s="148">
        <v>2</v>
      </c>
    </row>
    <row r="40" spans="2:5" ht="19.5">
      <c r="B40" s="29"/>
      <c r="C40" s="374" t="s">
        <v>207</v>
      </c>
      <c r="D40" s="374"/>
      <c r="E40" s="148">
        <v>3</v>
      </c>
    </row>
    <row r="41" spans="2:4" ht="15">
      <c r="B41" s="17" t="s">
        <v>204</v>
      </c>
      <c r="C41" s="17"/>
      <c r="D41" s="29"/>
    </row>
    <row r="42" spans="2:4" ht="15">
      <c r="B42" s="29"/>
      <c r="C42" s="29"/>
      <c r="D42" s="29"/>
    </row>
    <row r="43" spans="2:5" ht="20.25" customHeight="1">
      <c r="B43" s="29"/>
      <c r="C43" s="143" t="s">
        <v>208</v>
      </c>
      <c r="D43" s="143"/>
      <c r="E43" s="140"/>
    </row>
    <row r="44" spans="2:7" ht="19.5" customHeight="1">
      <c r="B44" s="150" t="s">
        <v>205</v>
      </c>
      <c r="C44" s="375" t="s">
        <v>209</v>
      </c>
      <c r="D44" s="375"/>
      <c r="E44" s="375"/>
      <c r="F44" s="304">
        <f>SQRT(10000*VLOOKUP(Data!M75,Data!J75:K80,2,FALSE)*4*VLOOKUP(Data!A53,Data!C53:D61,2,FALSE)*(VLOOKUP(Data!H53,Data!F53:G59,2,FALSE)^2)/(3*F34))</f>
        <v>0.5819690713431427</v>
      </c>
      <c r="G44" s="138" t="s">
        <v>14</v>
      </c>
    </row>
    <row r="45" spans="2:4" ht="15">
      <c r="B45" s="29"/>
      <c r="C45" s="29"/>
      <c r="D45" s="29"/>
    </row>
    <row r="46" spans="2:7" ht="15.75" thickBot="1">
      <c r="B46" s="151" t="s">
        <v>210</v>
      </c>
      <c r="C46" s="152"/>
      <c r="D46" s="152"/>
      <c r="G46" t="s">
        <v>14</v>
      </c>
    </row>
    <row r="47" spans="2:4" ht="17.25" thickBot="1" thickTop="1">
      <c r="B47" s="153" t="s">
        <v>212</v>
      </c>
      <c r="C47" s="29"/>
      <c r="D47" s="29"/>
    </row>
    <row r="48" spans="2:4" ht="16.5" thickBot="1" thickTop="1">
      <c r="B48" s="366" t="s">
        <v>213</v>
      </c>
      <c r="C48" s="154" t="s">
        <v>214</v>
      </c>
      <c r="D48" s="282">
        <f>100*VLOOKUP(Data!A53,Data!C53:D61,2,FALSE)</f>
        <v>30</v>
      </c>
    </row>
    <row r="49" spans="2:4" ht="16.5" thickBot="1" thickTop="1">
      <c r="B49" s="366"/>
      <c r="C49" s="154" t="s">
        <v>215</v>
      </c>
      <c r="D49" s="282">
        <f>100*VLOOKUP(Data!H53,Data!F53:G59,2,FALSE)</f>
        <v>1.7999999999999998</v>
      </c>
    </row>
    <row r="50" spans="2:4" ht="16.5" thickBot="1" thickTop="1">
      <c r="B50" s="367" t="s">
        <v>356</v>
      </c>
      <c r="C50" s="367"/>
      <c r="D50" s="282">
        <f>VLOOKUP(Data!H124,Data!I124:J140,2,FALSE)*100</f>
        <v>50</v>
      </c>
    </row>
    <row r="51" ht="13.5" thickTop="1"/>
    <row r="52" spans="2:7" ht="15">
      <c r="B52" s="17" t="s">
        <v>304</v>
      </c>
      <c r="C52" s="29"/>
      <c r="D52" s="29"/>
      <c r="E52" s="144"/>
      <c r="G52" s="17" t="s">
        <v>14</v>
      </c>
    </row>
    <row r="53" spans="2:7" ht="15">
      <c r="B53" s="29"/>
      <c r="C53" s="29"/>
      <c r="D53" s="144" t="s">
        <v>305</v>
      </c>
      <c r="E53" s="144"/>
      <c r="G53" s="17" t="s">
        <v>14</v>
      </c>
    </row>
    <row r="54" spans="2:7" ht="15">
      <c r="B54" s="29"/>
      <c r="C54" s="29"/>
      <c r="D54" s="144"/>
      <c r="E54" s="144"/>
      <c r="G54" s="17"/>
    </row>
    <row r="55" spans="2:7" ht="15">
      <c r="B55" s="29"/>
      <c r="C55" s="29"/>
      <c r="D55" s="144"/>
      <c r="E55" s="144"/>
      <c r="G55" s="17"/>
    </row>
    <row r="56" spans="2:7" ht="15">
      <c r="B56" s="29"/>
      <c r="C56" s="29"/>
      <c r="D56" s="144"/>
      <c r="E56" s="144"/>
      <c r="G56" s="17"/>
    </row>
    <row r="57" spans="3:7" ht="15">
      <c r="C57" s="29"/>
      <c r="D57" s="144"/>
      <c r="E57" s="144"/>
      <c r="G57" s="17"/>
    </row>
    <row r="58" spans="2:7" ht="15">
      <c r="B58" s="29"/>
      <c r="C58" s="29"/>
      <c r="D58" s="144"/>
      <c r="E58" s="144"/>
      <c r="G58" s="17"/>
    </row>
    <row r="59" spans="2:7" ht="15">
      <c r="B59" s="29"/>
      <c r="C59" s="29"/>
      <c r="D59" s="144"/>
      <c r="E59" s="144"/>
      <c r="G59" s="17"/>
    </row>
    <row r="60" spans="2:7" ht="15">
      <c r="B60" s="29"/>
      <c r="C60" s="29"/>
      <c r="D60" s="144"/>
      <c r="E60" s="144"/>
      <c r="G60" s="17"/>
    </row>
    <row r="61" spans="2:7" ht="15">
      <c r="B61" s="29"/>
      <c r="C61" s="29"/>
      <c r="D61" s="144"/>
      <c r="E61" s="144"/>
      <c r="G61" s="17"/>
    </row>
    <row r="62" spans="2:7" ht="15">
      <c r="B62" s="29"/>
      <c r="C62" s="29"/>
      <c r="D62" s="144"/>
      <c r="E62" s="144"/>
      <c r="G62" s="17"/>
    </row>
    <row r="63" spans="2:7" ht="15">
      <c r="B63" s="29"/>
      <c r="C63" s="29"/>
      <c r="D63" s="144"/>
      <c r="E63" s="144"/>
      <c r="G63" s="17"/>
    </row>
    <row r="64" spans="2:7" ht="15">
      <c r="B64" s="29"/>
      <c r="C64" s="29"/>
      <c r="D64" s="144"/>
      <c r="E64" s="144"/>
      <c r="G64" s="17"/>
    </row>
    <row r="65" spans="2:8" ht="15">
      <c r="B65" s="17" t="s">
        <v>297</v>
      </c>
      <c r="C65" s="17"/>
      <c r="D65" s="17"/>
      <c r="E65" s="17"/>
      <c r="F65" s="17"/>
      <c r="G65" s="16"/>
      <c r="H65" t="s">
        <v>299</v>
      </c>
    </row>
    <row r="66" spans="1:10" ht="15">
      <c r="A66" s="29"/>
      <c r="B66" s="17" t="s">
        <v>217</v>
      </c>
      <c r="C66" s="29"/>
      <c r="D66" s="29"/>
      <c r="E66" s="29"/>
      <c r="F66" s="29"/>
      <c r="G66" s="29"/>
      <c r="H66" s="29"/>
      <c r="I66" s="29"/>
      <c r="J66" s="29"/>
    </row>
    <row r="67" spans="1:10" ht="15">
      <c r="A67" s="29"/>
      <c r="B67" s="145" t="s">
        <v>220</v>
      </c>
      <c r="C67" s="145"/>
      <c r="D67" s="145"/>
      <c r="E67" s="29"/>
      <c r="F67" s="29"/>
      <c r="G67" s="29"/>
      <c r="H67" s="29"/>
      <c r="I67" s="29"/>
      <c r="J67" s="29"/>
    </row>
    <row r="68" spans="1:10" ht="15">
      <c r="A68" s="29"/>
      <c r="B68" s="17"/>
      <c r="C68" s="155" t="s">
        <v>222</v>
      </c>
      <c r="D68" s="17"/>
      <c r="F68" s="155"/>
      <c r="G68" s="155"/>
      <c r="H68" s="155"/>
      <c r="I68" s="155"/>
      <c r="J68" s="29"/>
    </row>
    <row r="69" spans="1:10" ht="15">
      <c r="A69" s="29"/>
      <c r="B69" s="29"/>
      <c r="C69" s="144">
        <v>1</v>
      </c>
      <c r="D69" s="17" t="s">
        <v>225</v>
      </c>
      <c r="E69" s="17"/>
      <c r="F69" s="17"/>
      <c r="G69" s="146">
        <f>VLOOKUP(Data!L124,Data!M124:N141,2,FALSE)/2</f>
        <v>1.7</v>
      </c>
      <c r="H69" s="144" t="s">
        <v>14</v>
      </c>
      <c r="J69" s="29"/>
    </row>
    <row r="70" spans="1:10" ht="15">
      <c r="A70" s="29"/>
      <c r="B70" s="29"/>
      <c r="C70" s="144">
        <v>2</v>
      </c>
      <c r="D70" s="17" t="s">
        <v>221</v>
      </c>
      <c r="E70" s="17"/>
      <c r="F70" s="17"/>
      <c r="G70" s="146">
        <f>VLOOKUP(Data!L124,Data!M124:N141,2,FALSE)</f>
        <v>3.4</v>
      </c>
      <c r="H70" s="144" t="s">
        <v>14</v>
      </c>
      <c r="J70" s="29"/>
    </row>
    <row r="71" spans="1:10" ht="15">
      <c r="A71" s="29"/>
      <c r="B71" s="17"/>
      <c r="C71" s="17"/>
      <c r="D71" s="17"/>
      <c r="E71" s="29"/>
      <c r="F71" s="144"/>
      <c r="G71" s="29"/>
      <c r="H71" s="17"/>
      <c r="I71" s="29"/>
      <c r="J71" s="29"/>
    </row>
    <row r="72" spans="1:10" ht="15">
      <c r="A72" s="29"/>
      <c r="C72" s="17"/>
      <c r="D72" s="17"/>
      <c r="E72" s="29"/>
      <c r="F72" s="29"/>
      <c r="G72" s="29"/>
      <c r="H72" s="29"/>
      <c r="I72" s="29"/>
      <c r="J72" s="29"/>
    </row>
    <row r="73" spans="1:10" ht="18">
      <c r="A73" s="29"/>
      <c r="B73" s="17" t="s">
        <v>234</v>
      </c>
      <c r="C73" s="29"/>
      <c r="D73" s="29"/>
      <c r="E73" s="29"/>
      <c r="F73" s="169" t="s">
        <v>255</v>
      </c>
      <c r="G73" s="29"/>
      <c r="H73" s="29"/>
      <c r="I73" s="29"/>
      <c r="J73" s="29"/>
    </row>
    <row r="74" spans="1:10" ht="18">
      <c r="A74" s="29"/>
      <c r="B74" s="17" t="s">
        <v>303</v>
      </c>
      <c r="C74" s="29"/>
      <c r="D74" s="29"/>
      <c r="E74" s="29"/>
      <c r="F74" s="169"/>
      <c r="G74" s="146">
        <f>VLOOKUP(Data!G296,Data!E296:F299,2,FALSE)/((SIN((VLOOKUP(Data!F192,Data!D192:E194,2,FALSE))*PI()/180)))</f>
        <v>200.00000000000003</v>
      </c>
      <c r="H74" s="217" t="s">
        <v>29</v>
      </c>
      <c r="J74" s="29"/>
    </row>
    <row r="75" spans="1:10" ht="15.75">
      <c r="A75" s="29"/>
      <c r="B75" s="145" t="s">
        <v>301</v>
      </c>
      <c r="C75" s="145"/>
      <c r="D75" s="17" t="s">
        <v>251</v>
      </c>
      <c r="E75" s="81" t="s">
        <v>318</v>
      </c>
      <c r="F75" s="17"/>
      <c r="H75" s="217" t="s">
        <v>130</v>
      </c>
      <c r="J75" s="29"/>
    </row>
    <row r="76" spans="1:10" ht="15.75">
      <c r="A76" s="29"/>
      <c r="B76" s="145" t="s">
        <v>300</v>
      </c>
      <c r="C76" s="145"/>
      <c r="D76" s="17" t="s">
        <v>259</v>
      </c>
      <c r="F76" s="17"/>
      <c r="G76" s="17"/>
      <c r="H76" s="29"/>
      <c r="I76" s="29"/>
      <c r="J76" s="29"/>
    </row>
    <row r="77" spans="1:10" ht="18.75">
      <c r="A77" s="29"/>
      <c r="B77" s="1" t="s">
        <v>256</v>
      </c>
      <c r="C77" s="1"/>
      <c r="D77" s="1"/>
      <c r="E77" s="1"/>
      <c r="F77" s="39" t="s">
        <v>121</v>
      </c>
      <c r="H77" s="29"/>
      <c r="I77" s="29"/>
      <c r="J77" s="29"/>
    </row>
    <row r="78" spans="1:10" ht="15.75">
      <c r="A78" s="29"/>
      <c r="B78" s="17" t="s">
        <v>317</v>
      </c>
      <c r="C78" s="17"/>
      <c r="D78" s="101"/>
      <c r="E78" s="217" t="s">
        <v>130</v>
      </c>
      <c r="G78" s="29"/>
      <c r="H78" s="29"/>
      <c r="I78" s="220"/>
      <c r="J78" s="220"/>
    </row>
    <row r="79" spans="1:10" ht="15.75">
      <c r="A79" s="29"/>
      <c r="B79" s="29"/>
      <c r="C79" s="145" t="s">
        <v>302</v>
      </c>
      <c r="D79" s="145"/>
      <c r="E79" s="29"/>
      <c r="F79" s="29"/>
      <c r="G79" s="29"/>
      <c r="H79" s="29"/>
      <c r="I79" s="220"/>
      <c r="J79" s="220"/>
    </row>
    <row r="80" spans="1:10" ht="15">
      <c r="A80" s="29"/>
      <c r="B80" s="29"/>
      <c r="C80" s="17" t="s">
        <v>260</v>
      </c>
      <c r="D80" s="291">
        <f>VLOOKUP(Data!L124,Data!M124:N141,2,FALSE)/COS(PI()*VLOOKUP(Data!F192,Data!D192:E194,2,FALSE)/180)</f>
        <v>3.9259818304894547</v>
      </c>
      <c r="E80" s="144" t="s">
        <v>14</v>
      </c>
      <c r="F80" s="29"/>
      <c r="G80" s="29"/>
      <c r="H80" s="29"/>
      <c r="I80" s="220"/>
      <c r="J80" s="220"/>
    </row>
    <row r="81" spans="1:10" ht="15.75">
      <c r="A81" s="248"/>
      <c r="B81" s="29"/>
      <c r="C81" s="17" t="s">
        <v>319</v>
      </c>
      <c r="D81" s="17"/>
      <c r="E81" s="17"/>
      <c r="F81" s="29"/>
      <c r="G81" s="291">
        <f>D80*SIN(PI()*VLOOKUP(Data!F192,Data!D192:E194,2,FALSE)/180)</f>
        <v>1.9629909152447271</v>
      </c>
      <c r="H81" s="144" t="s">
        <v>14</v>
      </c>
      <c r="I81" s="153"/>
      <c r="J81" s="153"/>
    </row>
    <row r="82" spans="1:10" ht="15.75">
      <c r="A82" s="248"/>
      <c r="B82" s="29"/>
      <c r="C82" s="17"/>
      <c r="D82" s="17"/>
      <c r="E82" s="17"/>
      <c r="F82" s="29"/>
      <c r="G82" s="219"/>
      <c r="H82" s="144"/>
      <c r="I82" s="153"/>
      <c r="J82" s="153"/>
    </row>
    <row r="83" spans="1:10" ht="15.75">
      <c r="A83" s="248"/>
      <c r="B83" s="29"/>
      <c r="C83" s="17"/>
      <c r="D83" s="17"/>
      <c r="E83" s="17"/>
      <c r="F83" s="29"/>
      <c r="G83" s="219"/>
      <c r="H83" s="144"/>
      <c r="I83" s="153"/>
      <c r="J83" s="153"/>
    </row>
    <row r="84" spans="1:10" ht="15">
      <c r="A84" s="29"/>
      <c r="J84" s="29"/>
    </row>
    <row r="85" spans="1:10" ht="16.5" thickBot="1">
      <c r="A85" s="29"/>
      <c r="B85" s="242" t="s">
        <v>162</v>
      </c>
      <c r="C85" s="242"/>
      <c r="D85" s="242"/>
      <c r="E85" s="242"/>
      <c r="F85" s="243"/>
      <c r="G85" s="2"/>
      <c r="H85" s="2"/>
      <c r="I85" s="29"/>
      <c r="J85" s="29"/>
    </row>
    <row r="86" spans="1:10" ht="16.5" thickTop="1">
      <c r="A86" s="29"/>
      <c r="B86" s="2"/>
      <c r="C86" s="213" t="s">
        <v>245</v>
      </c>
      <c r="D86" s="56"/>
      <c r="E86" s="80" t="s">
        <v>32</v>
      </c>
      <c r="F86" s="277">
        <f>D80/4</f>
        <v>0.9814954576223637</v>
      </c>
      <c r="G86" s="56"/>
      <c r="H86" s="56"/>
      <c r="I86" s="29"/>
      <c r="J86" s="29"/>
    </row>
    <row r="87" spans="1:10" ht="15.75">
      <c r="A87" s="29"/>
      <c r="B87" s="2"/>
      <c r="C87" s="213"/>
      <c r="D87" s="56"/>
      <c r="E87" s="80" t="s">
        <v>348</v>
      </c>
      <c r="F87" s="305">
        <f>0.7*D80</f>
        <v>2.7481872813426182</v>
      </c>
      <c r="G87" s="56"/>
      <c r="H87" s="56"/>
      <c r="I87" s="29"/>
      <c r="J87" s="29"/>
    </row>
    <row r="88" spans="1:10" ht="15.75">
      <c r="A88" s="29"/>
      <c r="B88" s="2"/>
      <c r="C88" s="167" t="s">
        <v>333</v>
      </c>
      <c r="D88" s="56"/>
      <c r="E88" s="80" t="s">
        <v>61</v>
      </c>
      <c r="F88" s="88">
        <f>F87/F86</f>
        <v>2.8</v>
      </c>
      <c r="G88" s="89" t="s">
        <v>311</v>
      </c>
      <c r="H88" s="56"/>
      <c r="I88" s="29"/>
      <c r="J88" s="29"/>
    </row>
    <row r="89" spans="1:10" ht="16.5" thickBot="1">
      <c r="A89" s="29"/>
      <c r="B89" s="104" t="s">
        <v>112</v>
      </c>
      <c r="C89" s="2"/>
      <c r="D89" s="2"/>
      <c r="E89" s="80"/>
      <c r="F89" s="80"/>
      <c r="G89" s="80"/>
      <c r="H89" s="56"/>
      <c r="I89" s="29"/>
      <c r="J89" s="2"/>
    </row>
    <row r="90" spans="1:10" ht="16.5" thickTop="1">
      <c r="A90" s="29"/>
      <c r="B90" s="2" t="s">
        <v>113</v>
      </c>
      <c r="C90" s="56"/>
      <c r="D90" s="56"/>
      <c r="E90" s="101" t="s">
        <v>139</v>
      </c>
      <c r="F90" s="264">
        <f>VLOOKUP(Data!X36,Data!R37:T57,3,FALSE)</f>
        <v>1</v>
      </c>
      <c r="G90" s="80"/>
      <c r="I90" s="29"/>
      <c r="J90" s="5"/>
    </row>
    <row r="91" spans="1:10" ht="15.75">
      <c r="A91" s="29"/>
      <c r="B91" s="24" t="s">
        <v>116</v>
      </c>
      <c r="C91" s="56"/>
      <c r="D91" s="87">
        <f>F88</f>
        <v>2.8</v>
      </c>
      <c r="E91" s="101" t="s">
        <v>114</v>
      </c>
      <c r="F91" s="292">
        <f>((D91-VLOOKUP(Data!X36,Data!R37:S57,2,FALSE))/(VLOOKUP(Data!Y36,Data!R37:S57,2,FALSE)-VLOOKUP(Data!X36,Data!R37:S57,2,FALSE)))*(F92-F90)+F90</f>
        <v>0.9972</v>
      </c>
      <c r="G91" s="80"/>
      <c r="H91" s="56"/>
      <c r="I91" s="29"/>
      <c r="J91" s="29"/>
    </row>
    <row r="92" spans="1:10" ht="15.75">
      <c r="A92" s="29"/>
      <c r="B92" s="2" t="s">
        <v>240</v>
      </c>
      <c r="C92" s="24"/>
      <c r="D92" s="56"/>
      <c r="E92" s="101" t="s">
        <v>140</v>
      </c>
      <c r="F92" s="264">
        <f>(VLOOKUP(Data!Y36,Data!R37:T57,3,FALSE))</f>
        <v>0.99</v>
      </c>
      <c r="G92" s="80"/>
      <c r="H92" s="56"/>
      <c r="I92" s="29"/>
      <c r="J92" s="29"/>
    </row>
    <row r="93" spans="1:10" ht="15">
      <c r="A93" s="29"/>
      <c r="C93" s="114" t="s">
        <v>253</v>
      </c>
      <c r="D93" s="17"/>
      <c r="E93" s="17"/>
      <c r="I93" s="2"/>
      <c r="J93" s="29"/>
    </row>
    <row r="94" spans="1:10" ht="18">
      <c r="A94" s="29"/>
      <c r="C94" s="136" t="s">
        <v>350</v>
      </c>
      <c r="D94" s="29"/>
      <c r="E94" s="278" t="s">
        <v>352</v>
      </c>
      <c r="F94" s="276">
        <f>PI()*((VLOOKUP(Data!G196,Data!D196:E199,2,FALSE)/200)^2)</f>
        <v>0.005026548245743669</v>
      </c>
      <c r="G94" s="138" t="s">
        <v>353</v>
      </c>
      <c r="I94" s="5"/>
      <c r="J94" s="29"/>
    </row>
    <row r="95" spans="3:10" ht="18.75">
      <c r="C95" s="150" t="s">
        <v>351</v>
      </c>
      <c r="D95" s="279">
        <f>G74/(F91*F94*10000)</f>
        <v>3.9900457052721463</v>
      </c>
      <c r="E95" s="278" t="s">
        <v>121</v>
      </c>
      <c r="J95" s="29"/>
    </row>
    <row r="96" spans="3:10" ht="19.5" thickBot="1">
      <c r="C96" s="150" t="s">
        <v>355</v>
      </c>
      <c r="D96" s="280">
        <f>(VLOOKUP(Data!N75,Data!J75:K80,2,FALSE))</f>
        <v>98</v>
      </c>
      <c r="E96" s="278" t="s">
        <v>121</v>
      </c>
      <c r="J96" s="29"/>
    </row>
    <row r="97" spans="2:10" ht="17.25" thickBot="1" thickTop="1">
      <c r="B97" s="82"/>
      <c r="C97" s="86"/>
      <c r="D97" s="102" t="s">
        <v>124</v>
      </c>
      <c r="E97" s="368" t="s">
        <v>123</v>
      </c>
      <c r="F97" s="369"/>
      <c r="G97" s="369"/>
      <c r="H97" s="370"/>
      <c r="J97" s="29"/>
    </row>
    <row r="98" spans="2:10" ht="17.25" thickBot="1" thickTop="1">
      <c r="B98" s="90" t="s">
        <v>122</v>
      </c>
      <c r="C98" s="86"/>
      <c r="D98" s="103" t="s">
        <v>125</v>
      </c>
      <c r="E98" s="363" t="s">
        <v>368</v>
      </c>
      <c r="F98" s="364"/>
      <c r="G98" s="364"/>
      <c r="H98" s="365"/>
      <c r="J98" s="29"/>
    </row>
    <row r="99" ht="15.75" thickTop="1">
      <c r="J99" s="29"/>
    </row>
    <row r="100" spans="2:10" ht="15.75">
      <c r="B100" s="2" t="s">
        <v>127</v>
      </c>
      <c r="C100" s="82"/>
      <c r="D100" s="86"/>
      <c r="E100" s="80"/>
      <c r="F100" s="85"/>
      <c r="G100" s="85"/>
      <c r="H100" s="85"/>
      <c r="I100" s="57"/>
      <c r="J100" s="29"/>
    </row>
    <row r="101" spans="2:10" ht="15.75" thickBot="1">
      <c r="B101" s="91" t="str">
        <f>IF(D117&lt;(VLOOKUP(Data!N75,Data!J75:K80,2,FALSE)),E97,E98)</f>
        <v>Lấy tiết diện cột với giá trị đầu</v>
      </c>
      <c r="C101" s="244"/>
      <c r="D101" s="92"/>
      <c r="J101" s="29"/>
    </row>
    <row r="102" spans="2:10" ht="19.5" thickTop="1">
      <c r="B102" s="281"/>
      <c r="C102" s="82"/>
      <c r="D102" s="336" t="s">
        <v>158</v>
      </c>
      <c r="E102" s="336"/>
      <c r="F102" s="336"/>
      <c r="G102" s="293">
        <f>VLOOKUP(Data!G196,Data!D196:E199,2,FALSE)</f>
        <v>8</v>
      </c>
      <c r="H102" s="123" t="s">
        <v>130</v>
      </c>
      <c r="I102" s="123"/>
      <c r="J102" s="29"/>
    </row>
    <row r="103" spans="1:10" ht="19.5" thickBot="1">
      <c r="A103" s="105" t="s">
        <v>354</v>
      </c>
      <c r="B103" s="126"/>
      <c r="C103" s="7"/>
      <c r="J103" s="29"/>
    </row>
    <row r="104" spans="1:10" ht="16.5" thickBot="1" thickTop="1">
      <c r="A104" s="29"/>
      <c r="B104" s="2"/>
      <c r="J104" s="29"/>
    </row>
    <row r="105" spans="1:10" ht="16.5" thickBot="1">
      <c r="A105" s="29"/>
      <c r="B105" s="306" t="s">
        <v>160</v>
      </c>
      <c r="C105" s="359" t="s">
        <v>161</v>
      </c>
      <c r="D105" s="360"/>
      <c r="E105" s="307" t="s">
        <v>148</v>
      </c>
      <c r="F105" s="308" t="s">
        <v>216</v>
      </c>
      <c r="J105" s="29"/>
    </row>
    <row r="106" spans="1:10" ht="16.5" thickBot="1">
      <c r="A106" s="29"/>
      <c r="B106" s="306">
        <v>1</v>
      </c>
      <c r="C106" s="333" t="s">
        <v>358</v>
      </c>
      <c r="D106" s="334"/>
      <c r="E106" s="321">
        <f>VLOOKUP(Data!A53,Data!C53:D61,2,FALSE)*100</f>
        <v>30</v>
      </c>
      <c r="F106" s="322">
        <f>VLOOKUP(Data!H53,Data!F53:G59,2,FALSE)*100</f>
        <v>1.7999999999999998</v>
      </c>
      <c r="J106" s="29"/>
    </row>
    <row r="107" spans="1:10" ht="16.5" thickBot="1">
      <c r="A107" s="29"/>
      <c r="B107" s="306">
        <v>2</v>
      </c>
      <c r="C107" s="339" t="s">
        <v>357</v>
      </c>
      <c r="D107" s="340"/>
      <c r="E107" s="323">
        <f>VLOOKUP(Data!A63,Data!C63:D67,2,FALSE)*100</f>
        <v>6</v>
      </c>
      <c r="F107" s="319">
        <f>VLOOKUP(Data!H63,Data!F63:G71,2,FALSE)*100</f>
        <v>6</v>
      </c>
      <c r="G107" s="29"/>
      <c r="H107" s="29"/>
      <c r="I107" s="29"/>
      <c r="J107" s="29"/>
    </row>
    <row r="108" spans="2:10" ht="16.5" thickBot="1">
      <c r="B108" s="306">
        <v>3</v>
      </c>
      <c r="C108" s="339" t="s">
        <v>375</v>
      </c>
      <c r="D108" s="340"/>
      <c r="E108" s="361">
        <f>G102</f>
        <v>8</v>
      </c>
      <c r="F108" s="362"/>
      <c r="I108" s="29"/>
      <c r="J108" s="29"/>
    </row>
    <row r="109" spans="2:10" ht="19.5" thickBot="1">
      <c r="B109" s="306">
        <v>4</v>
      </c>
      <c r="C109" s="371" t="s">
        <v>376</v>
      </c>
      <c r="D109" s="372"/>
      <c r="E109" s="372"/>
      <c r="F109" s="317">
        <f>VLOOKUP(Data!F192,Data!D192:E194,2,FALSE)</f>
        <v>30</v>
      </c>
      <c r="I109" s="29"/>
      <c r="J109" s="29"/>
    </row>
    <row r="110" spans="2:10" ht="16.5" thickBot="1">
      <c r="B110" s="306">
        <v>5</v>
      </c>
      <c r="C110" s="339" t="s">
        <v>361</v>
      </c>
      <c r="D110" s="340"/>
      <c r="E110" s="340"/>
      <c r="F110" s="318">
        <f>D80</f>
        <v>3.9259818304894547</v>
      </c>
      <c r="I110" s="29"/>
      <c r="J110" s="29"/>
    </row>
    <row r="111" spans="1:10" ht="16.5" thickBot="1">
      <c r="A111" s="29"/>
      <c r="B111" s="306">
        <v>6</v>
      </c>
      <c r="C111" s="339" t="s">
        <v>359</v>
      </c>
      <c r="D111" s="340"/>
      <c r="E111" s="340"/>
      <c r="F111" s="318">
        <f>G81</f>
        <v>1.9629909152447271</v>
      </c>
      <c r="H111" s="29"/>
      <c r="I111" s="29"/>
      <c r="J111" s="29"/>
    </row>
    <row r="112" spans="1:10" ht="16.5" thickBot="1">
      <c r="A112" s="29"/>
      <c r="B112" s="306">
        <v>7</v>
      </c>
      <c r="C112" s="339" t="s">
        <v>360</v>
      </c>
      <c r="D112" s="340"/>
      <c r="E112" s="340"/>
      <c r="F112" s="319">
        <f>VLOOKUP(Data!H124,Data!I124:J140,2,FALSE)</f>
        <v>0.5</v>
      </c>
      <c r="G112" s="29"/>
      <c r="H112" s="29"/>
      <c r="I112" s="29"/>
      <c r="J112" s="29"/>
    </row>
    <row r="113" spans="1:10" ht="19.5" thickBot="1">
      <c r="A113" s="29"/>
      <c r="B113" s="306">
        <v>8</v>
      </c>
      <c r="C113" s="331" t="s">
        <v>377</v>
      </c>
      <c r="D113" s="332"/>
      <c r="E113" s="332"/>
      <c r="F113" s="320">
        <f>(2*(VLOOKUP(Data!A134,Data!E134:F152,2,FALSE)/100)*VLOOKUP(Data!L124,Data!M124:N141,2,FALSE))+(2*(VLOOKUP(Data!B134,Data!E134:F152,2,FALSE)/100)*VLOOKUP(Data!L124,Data!M124:N141,2,FALSE))</f>
        <v>34</v>
      </c>
      <c r="G113" s="29"/>
      <c r="H113" s="29"/>
      <c r="I113" s="29"/>
      <c r="J113" s="29"/>
    </row>
    <row r="114" spans="1:10" ht="15">
      <c r="A114" s="29"/>
      <c r="G114" s="29"/>
      <c r="H114" s="29"/>
      <c r="I114" s="29"/>
      <c r="J114" s="29"/>
    </row>
    <row r="115" spans="1:10" ht="15">
      <c r="A115" s="29"/>
      <c r="B115" s="29"/>
      <c r="C115" s="29"/>
      <c r="D115" s="62" t="s">
        <v>326</v>
      </c>
      <c r="E115" s="29"/>
      <c r="F115" s="29"/>
      <c r="G115" s="29"/>
      <c r="H115" s="29"/>
      <c r="I115" s="29"/>
      <c r="J115" s="29"/>
    </row>
    <row r="116" spans="1:10" ht="15.75">
      <c r="A116" s="2"/>
      <c r="B116" s="215"/>
      <c r="D116" s="38"/>
      <c r="F116" s="38"/>
      <c r="G116" s="38"/>
      <c r="H116" s="29"/>
      <c r="I116" s="29"/>
      <c r="J116" s="29"/>
    </row>
    <row r="117" spans="1:10" ht="23.25">
      <c r="A117" s="246"/>
      <c r="B117" s="61"/>
      <c r="C117" s="79"/>
      <c r="D117" s="79"/>
      <c r="E117" s="79"/>
      <c r="F117" s="79"/>
      <c r="G117" s="5"/>
      <c r="H117" s="29"/>
      <c r="I117" s="29"/>
      <c r="J117" s="29"/>
    </row>
    <row r="118" spans="1:10" ht="15">
      <c r="A118" s="29"/>
      <c r="G118" s="29"/>
      <c r="H118" s="29"/>
      <c r="I118" s="29"/>
      <c r="J118" s="29"/>
    </row>
    <row r="119" spans="1:10" ht="15">
      <c r="A119" s="29"/>
      <c r="G119" s="29"/>
      <c r="H119" s="29"/>
      <c r="I119" s="29"/>
      <c r="J119" s="29"/>
    </row>
    <row r="120" spans="1:10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2" ht="15">
      <c r="A121" s="29"/>
      <c r="B121" s="29"/>
    </row>
    <row r="122" spans="1:2" ht="15">
      <c r="A122" s="29"/>
      <c r="B122" s="29"/>
    </row>
    <row r="123" spans="1:2" ht="15">
      <c r="A123" s="29"/>
      <c r="B123" s="29"/>
    </row>
    <row r="124" spans="1:10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ht="1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1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ht="1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ht="1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ht="1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</sheetData>
  <sheetProtection formatCells="0" formatColumns="0" formatRows="0" insertColumns="0" insertRows="0" insertHyperlinks="0" deleteColumns="0" deleteRows="0" autoFilter="0" pivotTables="0"/>
  <mergeCells count="21">
    <mergeCell ref="A24:B24"/>
    <mergeCell ref="C39:D39"/>
    <mergeCell ref="C40:D40"/>
    <mergeCell ref="C44:E44"/>
    <mergeCell ref="F17:G17"/>
    <mergeCell ref="D34:E34"/>
    <mergeCell ref="E98:H98"/>
    <mergeCell ref="D102:F102"/>
    <mergeCell ref="B48:B49"/>
    <mergeCell ref="B50:C50"/>
    <mergeCell ref="C111:E111"/>
    <mergeCell ref="C112:E112"/>
    <mergeCell ref="E97:H97"/>
    <mergeCell ref="C109:E109"/>
    <mergeCell ref="C110:E110"/>
    <mergeCell ref="C105:D105"/>
    <mergeCell ref="C106:D106"/>
    <mergeCell ref="E108:F108"/>
    <mergeCell ref="C107:D107"/>
    <mergeCell ref="C108:D108"/>
    <mergeCell ref="C113:E113"/>
  </mergeCell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816098" r:id="rId1"/>
    <oleObject progId="AutoCAD.Drawing.16" shapeId="44462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N127"/>
  <sheetViews>
    <sheetView showGridLines="0" zoomScalePageLayoutView="0" workbookViewId="0" topLeftCell="A1">
      <selection activeCell="O10" sqref="O10"/>
    </sheetView>
  </sheetViews>
  <sheetFormatPr defaultColWidth="9.140625" defaultRowHeight="12.75"/>
  <cols>
    <col min="1" max="1" width="10.8515625" style="0" customWidth="1"/>
    <col min="3" max="3" width="10.28125" style="0" customWidth="1"/>
    <col min="4" max="4" width="14.00390625" style="0" customWidth="1"/>
    <col min="6" max="6" width="10.140625" style="0" bestFit="1" customWidth="1"/>
    <col min="8" max="8" width="7.8515625" style="0" customWidth="1"/>
    <col min="9" max="9" width="7.28125" style="0" customWidth="1"/>
  </cols>
  <sheetData>
    <row r="1" spans="3:6" ht="21" thickBot="1">
      <c r="C1" s="149"/>
      <c r="D1" s="272" t="s">
        <v>33</v>
      </c>
      <c r="E1" s="272"/>
      <c r="F1" s="149"/>
    </row>
    <row r="2" ht="13.5" thickTop="1"/>
    <row r="3" spans="1:4" ht="19.5" thickBot="1">
      <c r="A3" s="270" t="s">
        <v>343</v>
      </c>
      <c r="B3" s="271"/>
      <c r="C3" s="271"/>
      <c r="D3" s="149"/>
    </row>
    <row r="4" spans="1:11" ht="14.25" thickBot="1" thickTop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6.5" thickBot="1" thickTop="1">
      <c r="B5" s="17" t="s">
        <v>35</v>
      </c>
      <c r="C5" s="17"/>
      <c r="D5" s="28">
        <v>10</v>
      </c>
      <c r="E5" s="17"/>
      <c r="F5" s="17"/>
      <c r="G5" s="17"/>
      <c r="H5" s="17"/>
      <c r="I5" s="17"/>
      <c r="J5" s="17"/>
      <c r="K5" s="17"/>
    </row>
    <row r="6" spans="1:11" ht="15.75" thickTop="1">
      <c r="A6" s="376" t="s">
        <v>34</v>
      </c>
      <c r="B6" s="376"/>
      <c r="C6" s="376"/>
      <c r="D6" s="376"/>
      <c r="F6" s="17"/>
      <c r="G6" s="17"/>
      <c r="H6" s="17"/>
      <c r="I6" s="17"/>
      <c r="J6" s="17"/>
      <c r="K6" s="17"/>
    </row>
    <row r="7" spans="1:3" ht="15.75" thickBot="1">
      <c r="A7" s="17" t="s">
        <v>36</v>
      </c>
      <c r="C7" s="17"/>
    </row>
    <row r="8" spans="1:9" ht="18" customHeight="1" thickBot="1" thickTop="1">
      <c r="A8" s="17"/>
      <c r="B8" s="405">
        <v>1</v>
      </c>
      <c r="C8" s="27" t="s">
        <v>62</v>
      </c>
      <c r="D8" s="392" t="s">
        <v>345</v>
      </c>
      <c r="E8" s="379"/>
      <c r="F8" s="405">
        <v>6</v>
      </c>
      <c r="G8" s="297" t="s">
        <v>43</v>
      </c>
      <c r="H8" s="378" t="s">
        <v>54</v>
      </c>
      <c r="I8" s="379"/>
    </row>
    <row r="9" spans="1:9" ht="21" thickBot="1" thickTop="1">
      <c r="A9" s="17"/>
      <c r="B9" s="406"/>
      <c r="C9" s="27" t="s">
        <v>63</v>
      </c>
      <c r="D9" s="392" t="s">
        <v>345</v>
      </c>
      <c r="E9" s="379"/>
      <c r="F9" s="406"/>
      <c r="G9" s="297" t="s">
        <v>44</v>
      </c>
      <c r="H9" s="378" t="s">
        <v>54</v>
      </c>
      <c r="I9" s="379"/>
    </row>
    <row r="10" spans="1:9" ht="20.25" customHeight="1" thickBot="1" thickTop="1">
      <c r="A10" s="17"/>
      <c r="B10" s="405">
        <v>2</v>
      </c>
      <c r="C10" s="27" t="s">
        <v>64</v>
      </c>
      <c r="D10" s="392" t="s">
        <v>345</v>
      </c>
      <c r="E10" s="379"/>
      <c r="F10" s="405">
        <v>7</v>
      </c>
      <c r="G10" s="297" t="s">
        <v>45</v>
      </c>
      <c r="H10" s="378" t="s">
        <v>54</v>
      </c>
      <c r="I10" s="379"/>
    </row>
    <row r="11" spans="1:9" ht="21" thickBot="1" thickTop="1">
      <c r="A11" s="17"/>
      <c r="B11" s="406"/>
      <c r="C11" s="27" t="s">
        <v>65</v>
      </c>
      <c r="D11" s="392" t="s">
        <v>345</v>
      </c>
      <c r="E11" s="379"/>
      <c r="F11" s="406"/>
      <c r="G11" s="297" t="s">
        <v>46</v>
      </c>
      <c r="H11" s="378" t="s">
        <v>54</v>
      </c>
      <c r="I11" s="379"/>
    </row>
    <row r="12" spans="1:9" ht="16.5" thickBot="1" thickTop="1">
      <c r="A12" s="17"/>
      <c r="B12" s="405">
        <v>3</v>
      </c>
      <c r="C12" s="27" t="s">
        <v>37</v>
      </c>
      <c r="D12" s="392" t="s">
        <v>345</v>
      </c>
      <c r="E12" s="379"/>
      <c r="F12" s="405">
        <v>8</v>
      </c>
      <c r="G12" s="297" t="s">
        <v>47</v>
      </c>
      <c r="H12" s="378" t="s">
        <v>54</v>
      </c>
      <c r="I12" s="379"/>
    </row>
    <row r="13" spans="1:9" ht="16.5" thickBot="1" thickTop="1">
      <c r="A13" s="17"/>
      <c r="B13" s="406"/>
      <c r="C13" s="27" t="s">
        <v>38</v>
      </c>
      <c r="D13" s="392" t="s">
        <v>346</v>
      </c>
      <c r="E13" s="379"/>
      <c r="F13" s="406"/>
      <c r="G13" s="297" t="s">
        <v>48</v>
      </c>
      <c r="H13" s="378" t="s">
        <v>54</v>
      </c>
      <c r="I13" s="379"/>
    </row>
    <row r="14" spans="1:9" ht="16.5" thickBot="1" thickTop="1">
      <c r="A14" s="17"/>
      <c r="B14" s="405">
        <v>4</v>
      </c>
      <c r="C14" s="27" t="s">
        <v>39</v>
      </c>
      <c r="D14" s="392" t="s">
        <v>346</v>
      </c>
      <c r="E14" s="379"/>
      <c r="F14" s="405">
        <v>9</v>
      </c>
      <c r="G14" s="297" t="s">
        <v>49</v>
      </c>
      <c r="H14" s="378" t="s">
        <v>54</v>
      </c>
      <c r="I14" s="379"/>
    </row>
    <row r="15" spans="1:9" ht="16.5" thickBot="1" thickTop="1">
      <c r="A15" s="17"/>
      <c r="B15" s="406"/>
      <c r="C15" s="27" t="s">
        <v>40</v>
      </c>
      <c r="D15" s="392" t="s">
        <v>346</v>
      </c>
      <c r="E15" s="379"/>
      <c r="F15" s="406"/>
      <c r="G15" s="297" t="s">
        <v>50</v>
      </c>
      <c r="H15" s="378" t="s">
        <v>54</v>
      </c>
      <c r="I15" s="379"/>
    </row>
    <row r="16" spans="1:9" ht="16.5" thickBot="1" thickTop="1">
      <c r="A16" s="17"/>
      <c r="B16" s="405">
        <v>5</v>
      </c>
      <c r="C16" s="27" t="s">
        <v>41</v>
      </c>
      <c r="D16" s="392" t="s">
        <v>347</v>
      </c>
      <c r="E16" s="379"/>
      <c r="F16" s="405">
        <v>10</v>
      </c>
      <c r="G16" s="297" t="s">
        <v>51</v>
      </c>
      <c r="H16" s="378" t="s">
        <v>54</v>
      </c>
      <c r="I16" s="379"/>
    </row>
    <row r="17" spans="1:11" ht="16.5" thickBot="1" thickTop="1">
      <c r="A17" s="17"/>
      <c r="B17" s="406"/>
      <c r="C17" s="27" t="s">
        <v>42</v>
      </c>
      <c r="D17" s="392" t="s">
        <v>347</v>
      </c>
      <c r="E17" s="379"/>
      <c r="F17" s="406"/>
      <c r="G17" s="297" t="s">
        <v>52</v>
      </c>
      <c r="H17" s="378" t="s">
        <v>54</v>
      </c>
      <c r="I17" s="379"/>
      <c r="J17" s="182"/>
      <c r="K17" s="26"/>
    </row>
    <row r="18" spans="1:10" ht="17.25" thickBot="1" thickTop="1">
      <c r="A18" s="17"/>
      <c r="B18" s="35" t="s">
        <v>17</v>
      </c>
      <c r="C18" s="23"/>
      <c r="D18" s="23"/>
      <c r="E18" s="23"/>
      <c r="F18" s="23"/>
      <c r="G18" s="23"/>
      <c r="H18" s="23"/>
      <c r="I18" s="187"/>
      <c r="J18" s="29"/>
    </row>
    <row r="19" spans="1:10" ht="17.25" thickBot="1" thickTop="1">
      <c r="A19" s="17"/>
      <c r="B19" s="23"/>
      <c r="C19" s="183" t="s">
        <v>12</v>
      </c>
      <c r="D19" s="183"/>
      <c r="E19" s="381" t="s">
        <v>339</v>
      </c>
      <c r="F19" s="382"/>
      <c r="G19" s="185" t="s">
        <v>14</v>
      </c>
      <c r="I19" s="187"/>
      <c r="J19" s="29"/>
    </row>
    <row r="20" spans="1:11" ht="23.25" customHeight="1" thickBot="1" thickTop="1">
      <c r="A20" s="17"/>
      <c r="B20" s="23"/>
      <c r="C20" s="183" t="s">
        <v>13</v>
      </c>
      <c r="D20" s="183"/>
      <c r="E20" s="381" t="s">
        <v>340</v>
      </c>
      <c r="F20" s="382"/>
      <c r="G20" s="185" t="s">
        <v>14</v>
      </c>
      <c r="I20" s="187"/>
      <c r="J20" s="29"/>
      <c r="K20" s="29"/>
    </row>
    <row r="21" spans="1:11" ht="20.25" thickBot="1" thickTop="1">
      <c r="A21" s="17"/>
      <c r="B21" s="23"/>
      <c r="C21" s="274" t="s">
        <v>268</v>
      </c>
      <c r="D21" s="188"/>
      <c r="E21" s="393"/>
      <c r="F21" s="394"/>
      <c r="G21" s="189" t="s">
        <v>121</v>
      </c>
      <c r="I21" s="187"/>
      <c r="J21" s="29"/>
      <c r="K21" s="29"/>
    </row>
    <row r="22" spans="1:11" ht="20.25" thickBot="1" thickTop="1">
      <c r="A22" s="17"/>
      <c r="B22" s="23"/>
      <c r="C22" s="183" t="s">
        <v>272</v>
      </c>
      <c r="D22" s="183"/>
      <c r="E22" s="393"/>
      <c r="F22" s="394"/>
      <c r="G22" s="185" t="s">
        <v>119</v>
      </c>
      <c r="I22" s="187"/>
      <c r="J22" s="29"/>
      <c r="K22" s="29"/>
    </row>
    <row r="23" spans="1:11" ht="17.25" thickBot="1" thickTop="1">
      <c r="A23" s="26"/>
      <c r="B23" s="35" t="s">
        <v>20</v>
      </c>
      <c r="C23" s="156"/>
      <c r="D23" s="32"/>
      <c r="E23" s="23"/>
      <c r="F23" s="23"/>
      <c r="G23" s="8"/>
      <c r="H23" s="8"/>
      <c r="I23" s="187"/>
      <c r="J23" s="29"/>
      <c r="K23" s="29"/>
    </row>
    <row r="24" spans="1:11" ht="17.25" thickBot="1" thickTop="1">
      <c r="A24" s="17"/>
      <c r="B24" s="23"/>
      <c r="C24" s="183" t="s">
        <v>12</v>
      </c>
      <c r="D24" s="273"/>
      <c r="E24" s="381" t="s">
        <v>341</v>
      </c>
      <c r="F24" s="382"/>
      <c r="G24" s="185" t="s">
        <v>14</v>
      </c>
      <c r="I24" s="187"/>
      <c r="J24" s="29"/>
      <c r="K24" s="29"/>
    </row>
    <row r="25" spans="1:11" ht="17.25" thickBot="1" thickTop="1">
      <c r="A25" s="17"/>
      <c r="B25" s="23"/>
      <c r="C25" s="192" t="s">
        <v>21</v>
      </c>
      <c r="D25" s="275"/>
      <c r="E25" s="381" t="s">
        <v>342</v>
      </c>
      <c r="F25" s="382"/>
      <c r="G25" s="193" t="s">
        <v>14</v>
      </c>
      <c r="I25" s="187"/>
      <c r="J25" s="29"/>
      <c r="K25" s="29"/>
    </row>
    <row r="26" spans="1:11" ht="20.25" thickBot="1" thickTop="1">
      <c r="A26" s="17"/>
      <c r="B26" s="23"/>
      <c r="C26" s="274" t="s">
        <v>269</v>
      </c>
      <c r="D26" s="23"/>
      <c r="E26" s="381"/>
      <c r="F26" s="382"/>
      <c r="G26" s="189" t="s">
        <v>121</v>
      </c>
      <c r="I26" s="187"/>
      <c r="J26" s="29"/>
      <c r="K26" s="29"/>
    </row>
    <row r="27" spans="1:11" ht="20.25" thickBot="1" thickTop="1">
      <c r="A27" s="17"/>
      <c r="B27" s="23"/>
      <c r="C27" s="183" t="s">
        <v>275</v>
      </c>
      <c r="D27" s="273"/>
      <c r="E27" s="381"/>
      <c r="F27" s="382"/>
      <c r="G27" s="185" t="s">
        <v>119</v>
      </c>
      <c r="I27" s="187"/>
      <c r="J27" s="29"/>
      <c r="K27" s="29"/>
    </row>
    <row r="28" spans="1:11" ht="17.25" thickBot="1" thickTop="1">
      <c r="A28" s="17"/>
      <c r="B28" s="35" t="s">
        <v>267</v>
      </c>
      <c r="C28" s="156"/>
      <c r="D28" s="156"/>
      <c r="E28" s="156"/>
      <c r="F28" s="23"/>
      <c r="G28" s="8"/>
      <c r="H28" s="8"/>
      <c r="I28" s="187"/>
      <c r="J28" s="187"/>
      <c r="K28" s="29"/>
    </row>
    <row r="29" spans="1:11" ht="17.25" thickBot="1" thickTop="1">
      <c r="A29" s="17"/>
      <c r="B29" s="35"/>
      <c r="C29" s="183" t="s">
        <v>12</v>
      </c>
      <c r="D29" s="184"/>
      <c r="E29" s="381" t="s">
        <v>338</v>
      </c>
      <c r="F29" s="382"/>
      <c r="G29" s="185" t="s">
        <v>14</v>
      </c>
      <c r="H29" s="8"/>
      <c r="I29" s="187"/>
      <c r="J29" s="29"/>
      <c r="K29" s="29"/>
    </row>
    <row r="30" spans="1:11" ht="17.25" thickBot="1" thickTop="1">
      <c r="A30" s="17"/>
      <c r="B30" s="35"/>
      <c r="C30" s="183" t="s">
        <v>21</v>
      </c>
      <c r="D30" s="184"/>
      <c r="E30" s="381" t="s">
        <v>266</v>
      </c>
      <c r="F30" s="382"/>
      <c r="G30" s="185" t="s">
        <v>14</v>
      </c>
      <c r="H30" s="8"/>
      <c r="I30" s="187"/>
      <c r="J30" s="29"/>
      <c r="K30" s="29"/>
    </row>
    <row r="31" spans="1:11" ht="20.25" thickBot="1" thickTop="1">
      <c r="A31" s="17"/>
      <c r="B31" s="35"/>
      <c r="C31" s="183" t="s">
        <v>270</v>
      </c>
      <c r="D31" s="184"/>
      <c r="E31" s="390"/>
      <c r="F31" s="391"/>
      <c r="G31" s="185" t="s">
        <v>121</v>
      </c>
      <c r="I31" s="187"/>
      <c r="J31" s="29"/>
      <c r="K31" s="29"/>
    </row>
    <row r="32" spans="1:11" ht="20.25" thickBot="1" thickTop="1">
      <c r="A32" s="17"/>
      <c r="B32" s="35"/>
      <c r="C32" s="183" t="s">
        <v>274</v>
      </c>
      <c r="D32" s="184"/>
      <c r="E32" s="390"/>
      <c r="F32" s="391"/>
      <c r="G32" s="185" t="s">
        <v>119</v>
      </c>
      <c r="I32" s="187"/>
      <c r="J32" s="29"/>
      <c r="K32" s="29"/>
    </row>
    <row r="33" spans="1:11" ht="16.5" thickTop="1">
      <c r="A33" s="17"/>
      <c r="B33" s="35" t="s">
        <v>18</v>
      </c>
      <c r="C33" s="156"/>
      <c r="D33" s="32"/>
      <c r="E33" s="32"/>
      <c r="G33" s="22"/>
      <c r="I33" s="187"/>
      <c r="J33" s="29"/>
      <c r="K33" s="29"/>
    </row>
    <row r="34" spans="1:11" ht="15.75">
      <c r="A34" s="17"/>
      <c r="B34" s="35"/>
      <c r="C34" s="156"/>
      <c r="D34" s="33" t="s">
        <v>320</v>
      </c>
      <c r="E34" s="32"/>
      <c r="F34" s="33"/>
      <c r="G34" s="8" t="s">
        <v>14</v>
      </c>
      <c r="H34" s="8"/>
      <c r="I34" s="187"/>
      <c r="J34" s="29"/>
      <c r="K34" s="29"/>
    </row>
    <row r="35" spans="1:11" ht="18.75">
      <c r="A35" s="17"/>
      <c r="B35" s="23"/>
      <c r="C35" s="190" t="s">
        <v>271</v>
      </c>
      <c r="D35" s="23"/>
      <c r="E35" s="23"/>
      <c r="F35" s="33"/>
      <c r="G35" s="8" t="s">
        <v>121</v>
      </c>
      <c r="I35" s="187"/>
      <c r="J35" s="29"/>
      <c r="K35" s="29"/>
    </row>
    <row r="36" spans="1:11" ht="18.75">
      <c r="A36" s="17"/>
      <c r="B36" s="23"/>
      <c r="C36" s="23" t="s">
        <v>273</v>
      </c>
      <c r="D36" s="23"/>
      <c r="E36" s="23"/>
      <c r="F36" s="33"/>
      <c r="G36" s="8" t="s">
        <v>119</v>
      </c>
      <c r="I36" s="187"/>
      <c r="J36" s="29"/>
      <c r="K36" s="29"/>
    </row>
    <row r="37" spans="1:11" ht="15.75">
      <c r="A37" s="17"/>
      <c r="B37" s="23"/>
      <c r="C37" s="1" t="s">
        <v>331</v>
      </c>
      <c r="D37" s="1"/>
      <c r="E37" s="1"/>
      <c r="F37" s="36"/>
      <c r="G37" s="8" t="s">
        <v>14</v>
      </c>
      <c r="I37" s="187"/>
      <c r="J37" s="29"/>
      <c r="K37" s="29"/>
    </row>
    <row r="38" spans="1:11" ht="16.5" thickBot="1">
      <c r="A38" s="17"/>
      <c r="B38" s="23"/>
      <c r="C38" s="136" t="s">
        <v>178</v>
      </c>
      <c r="D38" s="137"/>
      <c r="E38" s="1"/>
      <c r="F38" s="2"/>
      <c r="G38" s="2"/>
      <c r="H38" s="2"/>
      <c r="I38" s="187"/>
      <c r="J38" s="29"/>
      <c r="K38" s="29"/>
    </row>
    <row r="39" spans="1:11" ht="17.25" thickBot="1" thickTop="1">
      <c r="A39" s="17"/>
      <c r="B39" s="23"/>
      <c r="C39" s="137" t="s">
        <v>179</v>
      </c>
      <c r="D39" s="137"/>
      <c r="E39" s="25" t="s">
        <v>28</v>
      </c>
      <c r="F39" s="9">
        <f>VLOOKUP(Data!K286,Data!I286:J305,2,FALSE)*0.7</f>
        <v>1.4</v>
      </c>
      <c r="G39" s="23" t="s">
        <v>14</v>
      </c>
      <c r="I39" s="187"/>
      <c r="J39" s="29"/>
      <c r="K39" s="29"/>
    </row>
    <row r="40" spans="1:11" ht="17.25" thickBot="1" thickTop="1">
      <c r="A40" s="20" t="s">
        <v>7</v>
      </c>
      <c r="B40" s="21"/>
      <c r="D40" s="69"/>
      <c r="E40" s="70"/>
      <c r="F40" s="71"/>
      <c r="G40" s="72"/>
      <c r="H40" s="23"/>
      <c r="I40" s="249" t="s">
        <v>322</v>
      </c>
      <c r="J40" s="1"/>
      <c r="K40" s="17"/>
    </row>
    <row r="41" spans="1:11" ht="20.25" thickBot="1" thickTop="1">
      <c r="A41" s="17"/>
      <c r="B41" s="30" t="s">
        <v>2</v>
      </c>
      <c r="C41" s="30"/>
      <c r="D41" s="30"/>
      <c r="E41" s="383"/>
      <c r="F41" s="384"/>
      <c r="G41" s="269">
        <v>1.3</v>
      </c>
      <c r="H41" s="191">
        <f>IF(Data!N34=1,Data!L34,Data!L35)*G41</f>
        <v>260</v>
      </c>
      <c r="I41" s="11" t="s">
        <v>15</v>
      </c>
      <c r="K41" s="17"/>
    </row>
    <row r="42" spans="1:11" ht="20.25" thickBot="1" thickTop="1">
      <c r="A42" s="17"/>
      <c r="B42" s="30" t="s">
        <v>3</v>
      </c>
      <c r="C42" s="30"/>
      <c r="D42" s="30"/>
      <c r="E42" s="383"/>
      <c r="F42" s="384"/>
      <c r="G42" s="269">
        <v>1.3</v>
      </c>
      <c r="H42" s="191">
        <f>IF(Data!N36=1,Data!L36,Data!L37)*G42</f>
        <v>0</v>
      </c>
      <c r="I42" s="11" t="s">
        <v>15</v>
      </c>
      <c r="K42" s="17"/>
    </row>
    <row r="43" spans="1:11" ht="20.25" thickBot="1" thickTop="1">
      <c r="A43" s="17"/>
      <c r="B43" s="30" t="s">
        <v>281</v>
      </c>
      <c r="C43" s="30"/>
      <c r="D43" s="30"/>
      <c r="E43" s="30"/>
      <c r="F43" s="9"/>
      <c r="G43" s="11">
        <v>1.3</v>
      </c>
      <c r="H43" s="191">
        <f>IF(Data!N38=1,Data!L38,Data!L39)*G43</f>
        <v>0</v>
      </c>
      <c r="I43" s="11" t="s">
        <v>15</v>
      </c>
      <c r="K43" s="17"/>
    </row>
    <row r="44" spans="1:11" ht="20.25" thickBot="1" thickTop="1">
      <c r="A44" s="17"/>
      <c r="B44" s="209" t="s">
        <v>5</v>
      </c>
      <c r="C44" s="209"/>
      <c r="D44" s="209"/>
      <c r="E44" s="383"/>
      <c r="F44" s="384"/>
      <c r="G44" s="11">
        <v>1.3</v>
      </c>
      <c r="H44" s="191">
        <f>IF(Data!N40=1,Data!L40,Data!L41)*G44</f>
        <v>0</v>
      </c>
      <c r="I44" s="11" t="s">
        <v>15</v>
      </c>
      <c r="K44" s="17"/>
    </row>
    <row r="45" spans="1:11" ht="20.25" thickBot="1" thickTop="1">
      <c r="A45" s="17"/>
      <c r="B45" s="209" t="s">
        <v>6</v>
      </c>
      <c r="C45" s="209"/>
      <c r="D45" s="209"/>
      <c r="E45" s="383"/>
      <c r="F45" s="384"/>
      <c r="G45" s="11">
        <v>1.3</v>
      </c>
      <c r="H45" s="191">
        <f>IF(Data!N42=1,Data!L42,Data!L43)*G45</f>
        <v>195</v>
      </c>
      <c r="I45" s="11" t="s">
        <v>15</v>
      </c>
      <c r="K45" s="17"/>
    </row>
    <row r="46" spans="1:11" ht="20.25" thickBot="1" thickTop="1">
      <c r="A46" s="17"/>
      <c r="B46" s="347" t="s">
        <v>321</v>
      </c>
      <c r="C46" s="348"/>
      <c r="D46" s="348"/>
      <c r="E46" s="349"/>
      <c r="F46" s="399">
        <f>SUM(H41:H45)</f>
        <v>455</v>
      </c>
      <c r="G46" s="400"/>
      <c r="H46" s="401"/>
      <c r="I46" s="11" t="s">
        <v>15</v>
      </c>
      <c r="K46" s="17"/>
    </row>
    <row r="47" spans="1:11" ht="16.5" thickTop="1">
      <c r="A47" s="17"/>
      <c r="B47" s="170" t="s">
        <v>323</v>
      </c>
      <c r="C47" s="200"/>
      <c r="D47" s="200"/>
      <c r="E47" s="201"/>
      <c r="F47" s="202"/>
      <c r="G47" s="203"/>
      <c r="H47" s="250"/>
      <c r="I47" s="250"/>
      <c r="J47" s="250"/>
      <c r="K47" s="250"/>
    </row>
    <row r="48" spans="1:3" ht="15">
      <c r="A48" s="29"/>
      <c r="B48" s="194" t="s">
        <v>277</v>
      </c>
      <c r="C48" s="196">
        <v>1.1</v>
      </c>
    </row>
    <row r="49" spans="1:9" ht="15.75">
      <c r="A49" s="29"/>
      <c r="B49" s="195" t="s">
        <v>278</v>
      </c>
      <c r="C49" s="196">
        <v>2500</v>
      </c>
      <c r="D49" s="16" t="s">
        <v>280</v>
      </c>
      <c r="E49" s="163" t="s">
        <v>205</v>
      </c>
      <c r="F49" s="16" t="s">
        <v>279</v>
      </c>
      <c r="G49" s="16"/>
      <c r="H49" s="114">
        <f>C49*C48*1.1</f>
        <v>3025.0000000000005</v>
      </c>
      <c r="I49" s="139" t="s">
        <v>284</v>
      </c>
    </row>
    <row r="50" spans="1:11" ht="15.75">
      <c r="A50" s="29"/>
      <c r="B50" s="204" t="s">
        <v>286</v>
      </c>
      <c r="C50" s="204"/>
      <c r="D50" s="205"/>
      <c r="E50" s="206"/>
      <c r="F50" s="207"/>
      <c r="G50" s="163"/>
      <c r="H50" s="16"/>
      <c r="I50" s="16"/>
      <c r="J50" s="114"/>
      <c r="K50" s="16"/>
    </row>
    <row r="51" spans="1:9" ht="16.5" thickBot="1">
      <c r="A51" s="29"/>
      <c r="B51" s="197" t="s">
        <v>23</v>
      </c>
      <c r="C51" s="196">
        <v>1.1</v>
      </c>
      <c r="D51" s="16"/>
      <c r="E51" s="163"/>
      <c r="F51" s="16"/>
      <c r="G51" s="16"/>
      <c r="H51" s="114"/>
      <c r="I51" s="16"/>
    </row>
    <row r="52" spans="1:9" ht="20.25" thickBot="1" thickTop="1">
      <c r="A52" s="29"/>
      <c r="B52" s="195" t="s">
        <v>282</v>
      </c>
      <c r="C52" s="196">
        <f>VLOOKUP(Data!K255,Data!I255:J269,2,FALSE)</f>
        <v>800</v>
      </c>
      <c r="D52" s="185" t="s">
        <v>119</v>
      </c>
      <c r="E52" s="163"/>
      <c r="F52" s="199" t="s">
        <v>285</v>
      </c>
      <c r="G52" s="16"/>
      <c r="H52" s="114">
        <f>C51*C52*C53*1.1</f>
        <v>17.424000000000003</v>
      </c>
      <c r="I52" s="139" t="s">
        <v>284</v>
      </c>
    </row>
    <row r="53" spans="1:9" ht="16.5" thickTop="1">
      <c r="A53" s="29"/>
      <c r="B53" s="198" t="s">
        <v>283</v>
      </c>
      <c r="C53" s="196">
        <f>VLOOKUP(Data!G254,Data!E254:F260,2,FALSE)</f>
        <v>0.018</v>
      </c>
      <c r="D53" s="16" t="s">
        <v>14</v>
      </c>
      <c r="E53" s="163"/>
      <c r="F53" s="16"/>
      <c r="G53" s="16"/>
      <c r="H53" s="114"/>
      <c r="I53" s="16"/>
    </row>
    <row r="54" spans="1:11" ht="19.5" thickBot="1">
      <c r="A54" s="409" t="s">
        <v>344</v>
      </c>
      <c r="B54" s="409"/>
      <c r="C54" s="23"/>
      <c r="D54" s="29"/>
      <c r="E54" s="29"/>
      <c r="F54" s="29"/>
      <c r="G54" s="29"/>
      <c r="H54" s="29"/>
      <c r="I54" s="29"/>
      <c r="J54" s="29"/>
      <c r="K54" s="29"/>
    </row>
    <row r="55" spans="2:9" ht="17.25" thickBot="1" thickTop="1">
      <c r="B55" s="1"/>
      <c r="C55" s="29"/>
      <c r="D55" s="1"/>
      <c r="E55" s="1"/>
      <c r="F55" s="1"/>
      <c r="G55" s="2"/>
      <c r="H55" s="8"/>
      <c r="I55" s="23"/>
    </row>
    <row r="56" spans="1:7" ht="16.5" thickBot="1" thickTop="1">
      <c r="A56" s="402" t="s">
        <v>53</v>
      </c>
      <c r="B56" s="402"/>
      <c r="C56" s="252">
        <v>1</v>
      </c>
      <c r="D56" s="252">
        <v>2</v>
      </c>
      <c r="E56" s="252">
        <v>3</v>
      </c>
      <c r="F56" s="252">
        <v>4</v>
      </c>
      <c r="G56" s="252">
        <v>5</v>
      </c>
    </row>
    <row r="57" spans="1:7" ht="18.75" customHeight="1" thickBot="1" thickTop="1">
      <c r="A57" s="403" t="s">
        <v>66</v>
      </c>
      <c r="B57" s="403"/>
      <c r="C57" s="253"/>
      <c r="D57" s="254"/>
      <c r="E57" s="254"/>
      <c r="F57" s="254"/>
      <c r="G57" s="254"/>
    </row>
    <row r="58" spans="1:7" ht="21" thickBot="1" thickTop="1">
      <c r="A58" s="403" t="s">
        <v>287</v>
      </c>
      <c r="B58" s="403"/>
      <c r="C58" s="255">
        <f>VLOOKUP(Data!C203,Data!A203:B249,2,FALSE)*((VLOOKUP(Data!A163,Data!K163:L176,2,FALSE)*2+VLOOKUP(Data!A178,Data!K178:L189,2,FALSE))/1000)</f>
        <v>1.1</v>
      </c>
      <c r="D58" s="255">
        <f>VLOOKUP(Data!D203,Data!$A$203:$B$249,2,FALSE)*((VLOOKUP(Data!B163,Data!$K$163:$L$176,2,FALSE)*2+VLOOKUP(Data!B178,Data!$K$178:$L$189,2,FALSE))/1000)</f>
        <v>1</v>
      </c>
      <c r="E58" s="255">
        <f>VLOOKUP(Data!E203,Data!$A$203:$B$249,2,FALSE)*((VLOOKUP(Data!C163,Data!$K$163:$L$176,2,FALSE)*2+VLOOKUP(Data!C178,Data!$K$178:$L$189,2,FALSE))/1000)</f>
        <v>1.68</v>
      </c>
      <c r="F58" s="255">
        <f>VLOOKUP(Data!F203,Data!$A$203:$B$249,2,FALSE)*((VLOOKUP(Data!D163,Data!$K$163:$L$176,2,FALSE)*2+VLOOKUP(Data!D178,Data!$K$178:$L$189,2,FALSE))/1000)</f>
        <v>1</v>
      </c>
      <c r="G58" s="255">
        <f>VLOOKUP(Data!G203,Data!$A$203:$B$249,2,FALSE)*((VLOOKUP(Data!E163,Data!$K$163:$L$176,2,FALSE)*2+VLOOKUP(Data!E178,Data!$K$178:$L$189,2,FALSE))/1000)</f>
        <v>0.5</v>
      </c>
    </row>
    <row r="59" spans="1:12" ht="16.5" thickBot="1" thickTop="1">
      <c r="A59" s="402" t="s">
        <v>53</v>
      </c>
      <c r="B59" s="402"/>
      <c r="C59" s="252">
        <v>6</v>
      </c>
      <c r="D59" s="252">
        <v>7</v>
      </c>
      <c r="E59" s="252">
        <v>8</v>
      </c>
      <c r="F59" s="252">
        <v>9</v>
      </c>
      <c r="G59" s="252">
        <v>10</v>
      </c>
      <c r="H59" s="221"/>
      <c r="I59" s="221"/>
      <c r="J59" s="221"/>
      <c r="K59" s="221"/>
      <c r="L59" s="221"/>
    </row>
    <row r="60" spans="1:12" ht="21" thickBot="1" thickTop="1">
      <c r="A60" s="403" t="s">
        <v>66</v>
      </c>
      <c r="B60" s="403"/>
      <c r="C60" s="254"/>
      <c r="D60" s="254"/>
      <c r="E60" s="254"/>
      <c r="F60" s="254"/>
      <c r="G60" s="254"/>
      <c r="H60" s="221"/>
      <c r="I60" s="221"/>
      <c r="J60" s="221"/>
      <c r="K60" s="221"/>
      <c r="L60" s="221"/>
    </row>
    <row r="61" spans="1:13" ht="21" thickBot="1" thickTop="1">
      <c r="A61" s="403" t="s">
        <v>287</v>
      </c>
      <c r="B61" s="403"/>
      <c r="C61" s="255">
        <f>VLOOKUP(Data!H203,Data!$A$203:$B$249,2,FALSE)*((VLOOKUP(Data!F163,Data!$K$163:$L$176,2,FALSE)*2+VLOOKUP(Data!F178,Data!$K$178:$L$189,2,FALSE))/1000)</f>
        <v>0.5</v>
      </c>
      <c r="D61" s="255">
        <f>VLOOKUP(Data!I203,Data!$A$203:$B$249,2,FALSE)*((VLOOKUP(Data!G163,Data!$K$163:$L$176,2,FALSE)*2+VLOOKUP(Data!G178,Data!$K$178:$L$189,2,FALSE))/1000)</f>
        <v>0.5</v>
      </c>
      <c r="E61" s="255">
        <f>VLOOKUP(Data!J203,Data!$A$203:$B$249,2,FALSE)*((VLOOKUP(Data!H163,Data!$K$163:$L$176,2,FALSE)*2+VLOOKUP(Data!H178,Data!$K$178:$L$189,2,FALSE))/1000)</f>
        <v>0.5</v>
      </c>
      <c r="F61" s="255">
        <f>VLOOKUP(Data!K203,Data!$A$203:$B$249,2,FALSE)*((VLOOKUP(Data!I163,Data!$K$163:$L$176,2,FALSE)*2+VLOOKUP(Data!I178,Data!$K$178:$L$189,2,FALSE))/1000)</f>
        <v>0.5</v>
      </c>
      <c r="G61" s="255">
        <f>VLOOKUP(Data!L203,Data!$A$203:$B$249,2,FALSE)*((VLOOKUP(Data!J163,Data!$K$163:$L$176,2,FALSE)*2+VLOOKUP(Data!J178,Data!$K$178:$L$189,2,FALSE))/1000)</f>
        <v>0.5</v>
      </c>
      <c r="H61" s="221"/>
      <c r="I61" s="221"/>
      <c r="J61" s="221"/>
      <c r="K61" s="221"/>
      <c r="L61" s="221"/>
      <c r="M61" s="156"/>
    </row>
    <row r="62" spans="1:12" ht="19.5" thickBot="1" thickTop="1">
      <c r="A62" s="404" t="s">
        <v>290</v>
      </c>
      <c r="B62" s="404"/>
      <c r="C62" s="404">
        <f>$H$49+$H$52</f>
        <v>3042.4240000000004</v>
      </c>
      <c r="D62" s="404"/>
      <c r="E62" s="222"/>
      <c r="F62" s="222"/>
      <c r="G62" s="222"/>
      <c r="H62" s="222"/>
      <c r="I62" s="222"/>
      <c r="J62" s="222"/>
      <c r="K62" s="222"/>
      <c r="L62" s="222"/>
    </row>
    <row r="63" spans="1:12" ht="19.5" thickBot="1" thickTop="1">
      <c r="A63" s="404" t="s">
        <v>289</v>
      </c>
      <c r="B63" s="404"/>
      <c r="C63" s="404">
        <f>$F$46</f>
        <v>455</v>
      </c>
      <c r="D63" s="404"/>
      <c r="E63" s="222"/>
      <c r="F63" s="408"/>
      <c r="G63" s="408"/>
      <c r="H63" s="222"/>
      <c r="I63" s="222"/>
      <c r="J63" s="222"/>
      <c r="K63" s="222"/>
      <c r="L63" s="222"/>
    </row>
    <row r="64" spans="1:12" ht="20.25" thickBot="1" thickTop="1">
      <c r="A64" s="395" t="s">
        <v>67</v>
      </c>
      <c r="B64" s="395"/>
      <c r="C64" s="404">
        <f>$C$62+$C$63</f>
        <v>3497.4240000000004</v>
      </c>
      <c r="D64" s="404"/>
      <c r="F64" s="258" t="s">
        <v>325</v>
      </c>
      <c r="G64" s="259"/>
      <c r="H64" s="260"/>
      <c r="I64" s="223"/>
      <c r="J64" s="223"/>
      <c r="K64" s="223"/>
      <c r="L64" s="223"/>
    </row>
    <row r="65" spans="1:14" ht="17.25" thickBot="1" thickTop="1">
      <c r="A65" s="395" t="s">
        <v>75</v>
      </c>
      <c r="B65" s="395"/>
      <c r="C65" s="404">
        <f>C64*VLOOKUP(Data!$C$254,Data!$A$254:$B$262,2,FALSE)</f>
        <v>1049.2272</v>
      </c>
      <c r="D65" s="404"/>
      <c r="E65" s="223" t="s">
        <v>329</v>
      </c>
      <c r="F65" s="257"/>
      <c r="G65" s="257"/>
      <c r="H65" s="223"/>
      <c r="I65" s="223"/>
      <c r="J65" s="223"/>
      <c r="K65" s="223"/>
      <c r="L65" s="223"/>
      <c r="M65" s="34" t="s">
        <v>291</v>
      </c>
      <c r="N65" s="34"/>
    </row>
    <row r="66" spans="1:12" ht="16.5" thickBot="1" thickTop="1">
      <c r="A66" s="396" t="s">
        <v>294</v>
      </c>
      <c r="B66" s="396"/>
      <c r="C66" s="407">
        <f>SQRT(((VLOOKUP(Data!$C$288,Data!$A$288:$B$293,2,FALSE)*10000))*4*VLOOKUP(Data!$C$254,Data!$A$254:$B$262,2,FALSE)*((VLOOKUP(Data!$G$254,Data!$E$254:$F$260,2,FALSE)^2))/(3*CFDầm!C65))</f>
        <v>0.3479211004406157</v>
      </c>
      <c r="D66" s="407"/>
      <c r="E66" s="223"/>
      <c r="F66" s="223"/>
      <c r="G66" s="223"/>
      <c r="H66" s="223"/>
      <c r="I66" s="223"/>
      <c r="J66" s="223"/>
      <c r="K66" s="223"/>
      <c r="L66" s="223"/>
    </row>
    <row r="67" spans="1:3" ht="21" thickBot="1" thickTop="1">
      <c r="A67" s="397" t="s">
        <v>76</v>
      </c>
      <c r="B67" s="397"/>
      <c r="C67" s="256"/>
    </row>
    <row r="68" spans="1:12" ht="15.75" thickTop="1">
      <c r="A68" s="251"/>
      <c r="B68" s="398" t="s">
        <v>296</v>
      </c>
      <c r="C68" s="398"/>
      <c r="D68" s="398"/>
      <c r="E68" s="398"/>
      <c r="F68" s="398"/>
      <c r="G68" s="398"/>
      <c r="H68" s="398"/>
      <c r="I68" s="398"/>
      <c r="J68" s="398"/>
      <c r="K68" s="218"/>
      <c r="L68" s="218"/>
    </row>
    <row r="69" spans="3:11" ht="12.75">
      <c r="C69" s="398" t="s">
        <v>324</v>
      </c>
      <c r="D69" s="398"/>
      <c r="E69" s="398"/>
      <c r="F69" s="398"/>
      <c r="G69" s="398"/>
      <c r="H69" s="398"/>
      <c r="I69" s="398"/>
      <c r="J69" s="218"/>
      <c r="K69" s="218"/>
    </row>
    <row r="70" spans="1:12" ht="18.75">
      <c r="A70" s="2"/>
      <c r="B70" s="2" t="s">
        <v>101</v>
      </c>
      <c r="C70" s="137"/>
      <c r="D70" s="162"/>
      <c r="E70" s="7">
        <f>VLOOKUP(Data!L255,Data!I255:J269,2,FALSE)</f>
        <v>800</v>
      </c>
      <c r="F70" s="234" t="s">
        <v>118</v>
      </c>
      <c r="G70" s="54"/>
      <c r="H70" s="55"/>
      <c r="I70" s="2"/>
      <c r="J70" s="17"/>
      <c r="K70" s="17"/>
      <c r="L70" s="17"/>
    </row>
    <row r="71" spans="1:12" ht="18.75">
      <c r="A71" s="2"/>
      <c r="B71" s="2"/>
      <c r="C71" s="161" t="s">
        <v>241</v>
      </c>
      <c r="D71" s="2"/>
      <c r="E71" s="7"/>
      <c r="F71" s="54"/>
      <c r="G71" s="54"/>
      <c r="H71" s="55"/>
      <c r="I71" s="2"/>
      <c r="J71" s="17"/>
      <c r="K71" s="17"/>
      <c r="L71" s="17"/>
    </row>
    <row r="72" spans="1:4" ht="15.75">
      <c r="A72" s="2"/>
      <c r="B72" s="1" t="s">
        <v>243</v>
      </c>
      <c r="C72" s="2"/>
      <c r="D72" s="1"/>
    </row>
    <row r="73" spans="1:9" ht="18.75">
      <c r="A73" s="2"/>
      <c r="B73" s="1"/>
      <c r="C73" s="353" t="s">
        <v>327</v>
      </c>
      <c r="D73" s="353"/>
      <c r="E73" s="353"/>
      <c r="F73" s="262">
        <f>VLOOKUP(Data!C265,Data!A265:B271,2,FALSE)*VLOOKUP(Data!H265,Data!F265:G273,2,FALSE)*E70*1.1</f>
        <v>4.400000000000001</v>
      </c>
      <c r="G73" s="23" t="s">
        <v>26</v>
      </c>
      <c r="H73" s="73"/>
      <c r="I73" s="23"/>
    </row>
    <row r="74" spans="1:9" ht="15.75">
      <c r="A74" s="2"/>
      <c r="B74" s="1"/>
      <c r="C74" s="2"/>
      <c r="D74" s="1"/>
      <c r="E74" s="212"/>
      <c r="F74" s="212"/>
      <c r="G74" s="212"/>
      <c r="H74" s="73"/>
      <c r="I74" s="23"/>
    </row>
    <row r="75" spans="1:9" ht="15.75">
      <c r="A75" s="2"/>
      <c r="B75" s="1" t="s">
        <v>309</v>
      </c>
      <c r="C75" s="1"/>
      <c r="D75" s="1"/>
      <c r="E75" s="166"/>
      <c r="F75" s="166"/>
      <c r="G75" s="166"/>
      <c r="H75" s="166"/>
      <c r="I75" s="2"/>
    </row>
    <row r="76" spans="1:8" ht="15.75">
      <c r="A76" s="2"/>
      <c r="B76" s="1" t="s">
        <v>330</v>
      </c>
      <c r="C76" s="1"/>
      <c r="D76" s="1"/>
      <c r="E76" s="166"/>
      <c r="F76" s="166"/>
      <c r="G76" s="261">
        <f>C65*VLOOKUP(Data!C296,Data!A296:B313,2,FALSE)+F73</f>
        <v>319.16816</v>
      </c>
      <c r="H76" s="23" t="s">
        <v>26</v>
      </c>
    </row>
    <row r="77" spans="1:9" ht="15.75">
      <c r="A77" s="2"/>
      <c r="B77" s="1" t="s">
        <v>56</v>
      </c>
      <c r="C77" s="1"/>
      <c r="D77" s="1"/>
      <c r="E77" s="23"/>
      <c r="F77" s="7"/>
      <c r="G77" s="7"/>
      <c r="H77" s="2"/>
      <c r="I77" s="2"/>
    </row>
    <row r="78" spans="1:9" ht="18.75">
      <c r="A78" s="2"/>
      <c r="B78" s="1"/>
      <c r="C78" s="137" t="s">
        <v>246</v>
      </c>
      <c r="D78" s="1"/>
      <c r="E78" s="2"/>
      <c r="F78" s="2"/>
      <c r="G78" s="2"/>
      <c r="H78" s="2"/>
      <c r="I78" s="94"/>
    </row>
    <row r="79" spans="1:9" ht="18.75">
      <c r="A79" s="2"/>
      <c r="B79" s="1"/>
      <c r="C79" s="137" t="s">
        <v>244</v>
      </c>
      <c r="D79" s="162"/>
      <c r="E79" s="163" t="s">
        <v>205</v>
      </c>
      <c r="F79" s="164" t="s">
        <v>254</v>
      </c>
      <c r="G79" s="7"/>
      <c r="H79" s="2"/>
      <c r="I79" s="94"/>
    </row>
    <row r="80" spans="1:9" ht="18.75">
      <c r="A80" s="2"/>
      <c r="B80" s="1"/>
      <c r="C80" s="161" t="s">
        <v>241</v>
      </c>
      <c r="D80" s="1"/>
      <c r="E80" s="23"/>
      <c r="F80" s="2"/>
      <c r="G80" s="2"/>
      <c r="H80" s="65"/>
      <c r="I80" s="2"/>
    </row>
    <row r="81" spans="1:9" ht="18.75">
      <c r="A81" s="2"/>
      <c r="B81" s="238" t="s">
        <v>205</v>
      </c>
      <c r="C81" s="23" t="s">
        <v>292</v>
      </c>
      <c r="D81" s="94">
        <f>SQRT(VLOOKUP(Data!D288,Data!A288:B293,2,FALSE)*10000*4*VLOOKUP(Data!C265,Data!A265:B271,2,FALSE)*((VLOOKUP(Data!H265,Data!F265:G273,2,FALSE))^2)/(3*G76))</f>
        <v>1.4307298177792396</v>
      </c>
      <c r="E81" s="8" t="s">
        <v>14</v>
      </c>
      <c r="F81" s="2"/>
      <c r="G81" s="2"/>
      <c r="H81" s="263"/>
      <c r="I81" s="2"/>
    </row>
    <row r="82" spans="1:9" ht="16.5" thickBot="1">
      <c r="A82" s="344" t="s">
        <v>103</v>
      </c>
      <c r="B82" s="344"/>
      <c r="C82" s="23"/>
      <c r="D82" s="94"/>
      <c r="E82" s="234" t="s">
        <v>14</v>
      </c>
      <c r="F82" s="2" t="s">
        <v>159</v>
      </c>
      <c r="G82" s="2"/>
      <c r="H82" s="2"/>
      <c r="I82" s="2"/>
    </row>
    <row r="83" spans="1:10" ht="17.25" thickBot="1" thickTop="1">
      <c r="A83" s="2"/>
      <c r="B83" s="242" t="s">
        <v>162</v>
      </c>
      <c r="C83" s="242"/>
      <c r="D83" s="242"/>
      <c r="E83" s="242"/>
      <c r="F83" s="243"/>
      <c r="G83" s="2"/>
      <c r="H83" s="2"/>
      <c r="I83" s="2"/>
      <c r="J83" s="2"/>
    </row>
    <row r="84" spans="1:10" ht="19.5" thickTop="1">
      <c r="A84" s="2"/>
      <c r="B84" s="1" t="s">
        <v>120</v>
      </c>
      <c r="C84" s="23"/>
      <c r="D84" s="1"/>
      <c r="E84" s="1"/>
      <c r="F84" s="40">
        <f>VLOOKUP(Data!F288,Data!A288:B293,2,FALSE)</f>
        <v>98</v>
      </c>
      <c r="G84" s="355" t="s">
        <v>97</v>
      </c>
      <c r="H84" s="355"/>
      <c r="I84" s="2"/>
      <c r="J84" s="2"/>
    </row>
    <row r="85" spans="1:10" ht="15.75">
      <c r="A85" s="2"/>
      <c r="B85" s="2"/>
      <c r="C85" s="213" t="s">
        <v>245</v>
      </c>
      <c r="D85" s="56"/>
      <c r="E85" s="80" t="s">
        <v>32</v>
      </c>
      <c r="F85" s="88">
        <f>VLOOKUP(Data!K286,Data!I286:J305,2,FALSE)/4</f>
        <v>0.5</v>
      </c>
      <c r="G85" s="56"/>
      <c r="H85" s="56"/>
      <c r="I85" s="57"/>
      <c r="J85" s="2"/>
    </row>
    <row r="86" spans="1:10" ht="15.75">
      <c r="A86" s="2"/>
      <c r="B86" s="2"/>
      <c r="C86" s="167" t="s">
        <v>333</v>
      </c>
      <c r="D86" s="56"/>
      <c r="E86" s="80" t="s">
        <v>61</v>
      </c>
      <c r="F86" s="88">
        <f>F39/F85</f>
        <v>2.8</v>
      </c>
      <c r="G86" s="89" t="s">
        <v>311</v>
      </c>
      <c r="H86" s="56"/>
      <c r="I86" s="57"/>
      <c r="J86" s="2"/>
    </row>
    <row r="87" spans="1:10" ht="16.5" thickBot="1">
      <c r="A87" s="2"/>
      <c r="B87" s="104" t="s">
        <v>112</v>
      </c>
      <c r="C87" s="2"/>
      <c r="D87" s="2"/>
      <c r="E87" s="80"/>
      <c r="F87" s="80"/>
      <c r="G87" s="80"/>
      <c r="H87" s="56"/>
      <c r="I87" s="57"/>
      <c r="J87" s="2"/>
    </row>
    <row r="88" spans="1:10" ht="16.5" thickTop="1">
      <c r="A88" s="2"/>
      <c r="B88" s="2" t="s">
        <v>113</v>
      </c>
      <c r="C88" s="56"/>
      <c r="D88" s="56"/>
      <c r="E88" s="101" t="s">
        <v>139</v>
      </c>
      <c r="F88" s="264">
        <f>VLOOKUP(Data!V36,Data!R37:T57,3,FALSE)</f>
        <v>1</v>
      </c>
      <c r="G88" s="80"/>
      <c r="I88" s="57"/>
      <c r="J88" s="2"/>
    </row>
    <row r="89" spans="1:10" ht="15.75">
      <c r="A89" s="2"/>
      <c r="B89" s="24" t="s">
        <v>116</v>
      </c>
      <c r="C89" s="56"/>
      <c r="D89" s="87">
        <f>F86</f>
        <v>2.8</v>
      </c>
      <c r="E89" s="101" t="s">
        <v>114</v>
      </c>
      <c r="F89" s="292">
        <f>((D89-VLOOKUP(Data!V36,Data!R37:S57,2,FALSE))/(VLOOKUP(Data!W36,Data!R37:S57,2,FALSE)-VLOOKUP(Data!V36,Data!R37:S57,2,FALSE)))*(F90-F88)+F88</f>
        <v>0.9972</v>
      </c>
      <c r="G89" s="80"/>
      <c r="H89" s="56"/>
      <c r="I89" s="57"/>
      <c r="J89" s="2"/>
    </row>
    <row r="90" spans="1:10" ht="15.75">
      <c r="A90" s="2"/>
      <c r="B90" s="2" t="s">
        <v>240</v>
      </c>
      <c r="C90" s="24"/>
      <c r="D90" s="56"/>
      <c r="E90" s="101" t="s">
        <v>140</v>
      </c>
      <c r="F90" s="264">
        <f>VLOOKUP(Data!W36,Data!R37:T57,3,FALSE)</f>
        <v>0.99</v>
      </c>
      <c r="G90" s="80"/>
      <c r="H90" s="56"/>
      <c r="I90" s="57"/>
      <c r="J90" s="2"/>
    </row>
    <row r="91" spans="1:10" ht="15.75">
      <c r="A91" s="2"/>
      <c r="B91" s="2"/>
      <c r="C91" s="56"/>
      <c r="D91" s="84"/>
      <c r="E91" s="81" t="s">
        <v>314</v>
      </c>
      <c r="F91" s="88">
        <f>VLOOKUP(Data!C282,Data!A282:B286,2,FALSE)</f>
        <v>0.08</v>
      </c>
      <c r="G91" s="80" t="s">
        <v>14</v>
      </c>
      <c r="H91" s="56"/>
      <c r="I91" s="57"/>
      <c r="J91" s="2"/>
    </row>
    <row r="92" spans="1:10" ht="20.25">
      <c r="A92" s="2"/>
      <c r="B92" s="2"/>
      <c r="C92" s="158" t="s">
        <v>313</v>
      </c>
      <c r="D92" s="158"/>
      <c r="E92" s="158"/>
      <c r="F92" s="265">
        <f>((F91/2)^2)*3.14</f>
        <v>0.005024000000000001</v>
      </c>
      <c r="G92" s="80" t="s">
        <v>60</v>
      </c>
      <c r="H92" s="56"/>
      <c r="I92" s="57"/>
      <c r="J92" s="2"/>
    </row>
    <row r="93" spans="1:10" ht="18.75">
      <c r="A93" s="2"/>
      <c r="B93" s="2"/>
      <c r="C93" s="158" t="s">
        <v>312</v>
      </c>
      <c r="D93" s="2"/>
      <c r="E93" s="2"/>
      <c r="F93" s="88">
        <f>G76*VLOOKUP(Data!M84,Data!K84:L96,2,FALSE)</f>
        <v>191.50089599999998</v>
      </c>
      <c r="G93" s="80" t="s">
        <v>30</v>
      </c>
      <c r="H93" s="2"/>
      <c r="I93" s="2"/>
      <c r="J93" s="2"/>
    </row>
    <row r="94" spans="1:10" ht="15.75">
      <c r="A94" s="2"/>
      <c r="B94" s="2"/>
      <c r="C94" s="158" t="s">
        <v>223</v>
      </c>
      <c r="D94" s="216"/>
      <c r="E94" s="216"/>
      <c r="F94" s="159">
        <f>2*F93+((VLOOKUP(Data!C276,Data!A276:B280,2,FALSE)*VLOOKUP(Data!H276,Data!F276:G283,2,FALSE))*VLOOKUP(Data!M255,Data!I255:J269,2,FALSE))</f>
        <v>385.52179199999995</v>
      </c>
      <c r="G94" s="80" t="s">
        <v>29</v>
      </c>
      <c r="H94" s="56"/>
      <c r="I94" s="57"/>
      <c r="J94" s="2"/>
    </row>
    <row r="95" spans="1:10" ht="18.75">
      <c r="A95" s="2"/>
      <c r="B95" s="2" t="s">
        <v>117</v>
      </c>
      <c r="C95" s="2"/>
      <c r="D95" s="56"/>
      <c r="E95" s="80"/>
      <c r="F95" s="88">
        <f>VLOOKUP(Data!N255,Data!I255:J269,2,FALSE)</f>
        <v>800</v>
      </c>
      <c r="G95" s="80" t="s">
        <v>119</v>
      </c>
      <c r="H95" s="56"/>
      <c r="I95" s="57"/>
      <c r="J95" s="2"/>
    </row>
    <row r="96" spans="1:10" ht="21" thickBot="1">
      <c r="A96" s="2"/>
      <c r="B96" s="2"/>
      <c r="C96" s="56"/>
      <c r="D96" s="136" t="s">
        <v>247</v>
      </c>
      <c r="E96" s="80"/>
      <c r="F96" s="268">
        <f>F94/(F89*F92*10000)</f>
        <v>7.695148964872343</v>
      </c>
      <c r="G96" s="80" t="s">
        <v>121</v>
      </c>
      <c r="H96" s="56"/>
      <c r="I96" s="57"/>
      <c r="J96" s="2"/>
    </row>
    <row r="97" spans="1:10" ht="17.25" thickBot="1" thickTop="1">
      <c r="A97" s="2"/>
      <c r="B97" s="2"/>
      <c r="C97" s="82"/>
      <c r="D97" s="86"/>
      <c r="E97" s="102" t="s">
        <v>124</v>
      </c>
      <c r="F97" s="368" t="s">
        <v>123</v>
      </c>
      <c r="G97" s="369"/>
      <c r="H97" s="369"/>
      <c r="I97" s="370"/>
      <c r="J97" s="2"/>
    </row>
    <row r="98" spans="1:10" ht="17.25" thickBot="1" thickTop="1">
      <c r="A98" s="2"/>
      <c r="B98" s="2"/>
      <c r="C98" s="90" t="s">
        <v>122</v>
      </c>
      <c r="D98" s="86"/>
      <c r="E98" s="103" t="s">
        <v>125</v>
      </c>
      <c r="F98" s="335" t="s">
        <v>126</v>
      </c>
      <c r="G98" s="335"/>
      <c r="H98" s="335"/>
      <c r="I98" s="335"/>
      <c r="J98" s="2"/>
    </row>
    <row r="99" spans="1:10" ht="16.5" thickTop="1">
      <c r="A99" s="2"/>
      <c r="B99" s="2" t="s">
        <v>127</v>
      </c>
      <c r="C99" s="82"/>
      <c r="D99" s="86"/>
      <c r="E99" s="80"/>
      <c r="F99" s="85"/>
      <c r="G99" s="85"/>
      <c r="H99" s="85"/>
      <c r="I99" s="57"/>
      <c r="J99" s="2"/>
    </row>
    <row r="100" spans="1:10" ht="19.5" thickBot="1">
      <c r="A100" s="2"/>
      <c r="B100" s="91" t="str">
        <f>IF(F96&lt;(VLOOKUP(Data!F288,Data!A288:B293,2,FALSE)),F97,F98)</f>
        <v>Lấy tiết diện cột với giá trị đầu</v>
      </c>
      <c r="C100" s="244"/>
      <c r="D100" s="92"/>
      <c r="E100" s="336" t="s">
        <v>158</v>
      </c>
      <c r="F100" s="336"/>
      <c r="G100" s="336"/>
      <c r="H100" s="293">
        <f>F91</f>
        <v>0.08</v>
      </c>
      <c r="I100" s="123" t="s">
        <v>14</v>
      </c>
      <c r="J100" s="2"/>
    </row>
    <row r="101" spans="1:10" ht="13.5" thickTop="1">
      <c r="A101" s="2"/>
      <c r="B101" s="2"/>
      <c r="C101" s="7"/>
      <c r="D101" s="57"/>
      <c r="E101" s="57" t="s">
        <v>104</v>
      </c>
      <c r="F101" s="124">
        <f>2*VLOOKUP(Data!C296,Data!A296:B313,2,FALSE)</f>
        <v>0.6</v>
      </c>
      <c r="G101" s="118" t="s">
        <v>14</v>
      </c>
      <c r="H101" s="57"/>
      <c r="I101" s="57"/>
      <c r="J101" s="2"/>
    </row>
    <row r="102" spans="1:10" ht="16.5" thickBot="1">
      <c r="A102" s="105" t="s">
        <v>128</v>
      </c>
      <c r="B102" s="106"/>
      <c r="C102" s="57"/>
      <c r="D102" s="57"/>
      <c r="E102" s="57"/>
      <c r="F102" s="57"/>
      <c r="G102" s="57"/>
      <c r="H102" s="57"/>
      <c r="I102" s="57"/>
      <c r="J102" s="2"/>
    </row>
    <row r="103" spans="1:10" ht="16.5" thickTop="1">
      <c r="A103" s="1" t="s">
        <v>138</v>
      </c>
      <c r="C103" s="233"/>
      <c r="D103" s="96"/>
      <c r="E103" s="96"/>
      <c r="F103" s="96"/>
      <c r="G103" s="96"/>
      <c r="H103" s="96"/>
      <c r="I103" s="96"/>
      <c r="J103" s="2"/>
    </row>
    <row r="104" spans="1:10" ht="18.75">
      <c r="A104" s="1"/>
      <c r="B104" s="137" t="s">
        <v>224</v>
      </c>
      <c r="C104" s="96"/>
      <c r="D104" s="96"/>
      <c r="E104" s="2"/>
      <c r="F104" s="2"/>
      <c r="G104" s="2"/>
      <c r="H104" s="96"/>
      <c r="I104" s="2"/>
      <c r="J104" s="2"/>
    </row>
    <row r="105" spans="1:10" ht="15.75">
      <c r="A105" s="1"/>
      <c r="B105" s="168" t="s">
        <v>236</v>
      </c>
      <c r="C105" s="162" t="s">
        <v>250</v>
      </c>
      <c r="D105" s="2"/>
      <c r="E105" s="2"/>
      <c r="F105" s="2"/>
      <c r="G105" s="2"/>
      <c r="H105" s="2"/>
      <c r="I105" s="2"/>
      <c r="J105" s="2"/>
    </row>
    <row r="106" spans="1:10" ht="16.5">
      <c r="A106" s="1"/>
      <c r="B106" s="98" t="s">
        <v>236</v>
      </c>
      <c r="C106" s="78">
        <f>((G76+(VLOOKUP(Data!C276,Data!A276:B280,2,FALSE)*VLOOKUP(Data!H276,Data!F276:G283,2,FALSE)*VLOOKUP(Data!M255,Data!I255:J269,2,FALSE)))*F101)</f>
        <v>193.01289599999998</v>
      </c>
      <c r="D106" s="2" t="s">
        <v>171</v>
      </c>
      <c r="E106" s="2">
        <f>428.1*10^-4</f>
        <v>0.04281000000000001</v>
      </c>
      <c r="F106" s="2"/>
      <c r="G106" s="99"/>
      <c r="H106" s="96"/>
      <c r="I106" s="98"/>
      <c r="J106" s="58"/>
    </row>
    <row r="107" spans="1:10" ht="15.75">
      <c r="A107" s="1"/>
      <c r="B107" s="160" t="s">
        <v>248</v>
      </c>
      <c r="C107" s="162"/>
      <c r="D107" s="160">
        <f>1.2*10^6</f>
        <v>1200000</v>
      </c>
      <c r="E107" s="2"/>
      <c r="F107" s="2"/>
      <c r="G107" s="2"/>
      <c r="H107" s="2"/>
      <c r="I107" s="98"/>
      <c r="J107" s="58"/>
    </row>
    <row r="108" spans="1:10" ht="15.75">
      <c r="A108" s="1"/>
      <c r="B108" s="160"/>
      <c r="C108" s="162"/>
      <c r="D108" s="160"/>
      <c r="E108" s="160"/>
      <c r="F108" s="160"/>
      <c r="G108" s="99"/>
      <c r="H108" s="96"/>
      <c r="I108" s="98"/>
      <c r="J108" s="58"/>
    </row>
    <row r="109" spans="1:10" ht="18.75">
      <c r="A109" s="1"/>
      <c r="B109" s="160" t="s">
        <v>249</v>
      </c>
      <c r="C109" s="160" t="s">
        <v>337</v>
      </c>
      <c r="D109" s="266">
        <f>(VLOOKUP(Data!C276,Data!A276:B280,2,FALSE)*(VLOOKUP(Data!H276,Data!F276:G283,2,FALSE)^3))*100000000/12</f>
        <v>864</v>
      </c>
      <c r="E109" s="96" t="s">
        <v>137</v>
      </c>
      <c r="F109" s="160"/>
      <c r="G109" s="99"/>
      <c r="H109" s="96"/>
      <c r="I109" s="98"/>
      <c r="J109" s="58"/>
    </row>
    <row r="110" spans="1:10" ht="15.75">
      <c r="A110" s="1"/>
      <c r="B110" s="137" t="s">
        <v>129</v>
      </c>
      <c r="C110" s="1"/>
      <c r="D110" s="99">
        <f>3*F101*100/1000</f>
        <v>0.17999999999999997</v>
      </c>
      <c r="E110" s="100" t="s">
        <v>130</v>
      </c>
      <c r="F110" s="342" t="s">
        <v>132</v>
      </c>
      <c r="G110" s="96" t="s">
        <v>133</v>
      </c>
      <c r="H110" s="96" t="s">
        <v>134</v>
      </c>
      <c r="I110" s="2"/>
      <c r="J110" s="2"/>
    </row>
    <row r="111" spans="1:10" ht="15.75">
      <c r="A111" s="1"/>
      <c r="B111" s="1" t="s">
        <v>131</v>
      </c>
      <c r="C111" s="160"/>
      <c r="D111" s="267">
        <f>5*E106*((F101*100)^4)/(384*D107*D109)</f>
        <v>6.9677734375000015E-06</v>
      </c>
      <c r="E111" s="100" t="s">
        <v>130</v>
      </c>
      <c r="F111" s="342"/>
      <c r="G111" s="96" t="s">
        <v>135</v>
      </c>
      <c r="H111" s="96" t="s">
        <v>136</v>
      </c>
      <c r="I111" s="96"/>
      <c r="J111" s="2"/>
    </row>
    <row r="112" spans="1:10" ht="15.75">
      <c r="A112" s="1"/>
      <c r="B112" s="1"/>
      <c r="C112" s="160"/>
      <c r="D112" s="97"/>
      <c r="E112" s="80"/>
      <c r="F112" s="80"/>
      <c r="G112" s="96"/>
      <c r="H112" s="96"/>
      <c r="I112" s="96"/>
      <c r="J112" s="2"/>
    </row>
    <row r="113" spans="1:9" ht="15.75">
      <c r="A113" s="1" t="s">
        <v>127</v>
      </c>
      <c r="B113" s="337" t="str">
        <f>IF(D111&lt;D110,"Thoả","Làm lại")</f>
        <v>Thoả</v>
      </c>
      <c r="C113" s="338"/>
      <c r="D113" s="238" t="s">
        <v>205</v>
      </c>
      <c r="E113" s="96" t="s">
        <v>261</v>
      </c>
      <c r="F113" s="96"/>
      <c r="G113" s="96"/>
      <c r="H113" s="96"/>
      <c r="I113" s="2"/>
    </row>
    <row r="114" spans="1:10" ht="19.5" thickBot="1">
      <c r="A114" s="105" t="s">
        <v>163</v>
      </c>
      <c r="B114" s="126"/>
      <c r="C114" s="7"/>
      <c r="D114" s="2"/>
      <c r="E114" s="2"/>
      <c r="F114" s="59"/>
      <c r="G114" s="19"/>
      <c r="H114" s="83"/>
      <c r="I114" s="2"/>
      <c r="J114" s="2"/>
    </row>
    <row r="115" spans="1:10" ht="20.25" thickBot="1" thickTop="1">
      <c r="A115" s="125"/>
      <c r="B115" s="60"/>
      <c r="C115" s="60"/>
      <c r="D115" s="59"/>
      <c r="E115" s="59"/>
      <c r="F115" s="59"/>
      <c r="G115" s="19"/>
      <c r="H115" s="83"/>
      <c r="I115" s="2"/>
      <c r="J115" s="2"/>
    </row>
    <row r="116" spans="1:10" ht="19.5" thickBot="1">
      <c r="A116" s="2"/>
      <c r="B116" s="312" t="s">
        <v>160</v>
      </c>
      <c r="C116" s="387" t="s">
        <v>161</v>
      </c>
      <c r="D116" s="387"/>
      <c r="E116" s="312" t="s">
        <v>148</v>
      </c>
      <c r="F116" s="312" t="s">
        <v>216</v>
      </c>
      <c r="G116" s="121"/>
      <c r="H116" s="122"/>
      <c r="I116" s="2"/>
      <c r="J116" s="2"/>
    </row>
    <row r="117" spans="1:10" ht="19.5" thickBot="1">
      <c r="A117" s="2"/>
      <c r="B117" s="313">
        <v>1</v>
      </c>
      <c r="C117" s="388" t="s">
        <v>358</v>
      </c>
      <c r="D117" s="389"/>
      <c r="E117" s="324">
        <f>VLOOKUP(Data!C254,Data!A254:B262,2,FALSE)*100</f>
        <v>30</v>
      </c>
      <c r="F117" s="325">
        <f>VLOOKUP(Data!G254,Data!E254:F260,2,FALSE)*100</f>
        <v>1.7999999999999998</v>
      </c>
      <c r="G117" s="121"/>
      <c r="H117" s="122"/>
      <c r="I117" s="2"/>
      <c r="J117" s="2"/>
    </row>
    <row r="118" spans="1:10" ht="19.5" thickBot="1">
      <c r="A118" s="2"/>
      <c r="B118" s="312">
        <v>2</v>
      </c>
      <c r="C118" s="380" t="s">
        <v>365</v>
      </c>
      <c r="D118" s="340"/>
      <c r="E118" s="323">
        <f>VLOOKUP(Data!C265,Data!A265:B271,2,FALSE)*100</f>
        <v>5</v>
      </c>
      <c r="F118" s="326">
        <f>VLOOKUP(Data!H265,Data!F265:G273,2,FALSE)*100</f>
        <v>10</v>
      </c>
      <c r="G118" s="121"/>
      <c r="H118" s="122"/>
      <c r="I118" s="2"/>
      <c r="J118" s="2"/>
    </row>
    <row r="119" spans="1:10" ht="19.5" thickBot="1">
      <c r="A119" s="2"/>
      <c r="B119" s="312">
        <v>3</v>
      </c>
      <c r="C119" s="380" t="s">
        <v>366</v>
      </c>
      <c r="D119" s="340"/>
      <c r="E119" s="323">
        <f>100*VLOOKUP(Data!C276,Data!A276:B280,2,FALSE)</f>
        <v>6</v>
      </c>
      <c r="F119" s="326">
        <f>100*VLOOKUP(Data!H276,Data!F276:G283,2,FALSE)</f>
        <v>12</v>
      </c>
      <c r="G119" s="121"/>
      <c r="H119" s="122"/>
      <c r="I119" s="2"/>
      <c r="J119" s="2"/>
    </row>
    <row r="120" spans="1:10" ht="19.5" thickBot="1">
      <c r="A120" s="2"/>
      <c r="B120" s="312">
        <v>4</v>
      </c>
      <c r="C120" s="380" t="s">
        <v>367</v>
      </c>
      <c r="D120" s="340"/>
      <c r="E120" s="340"/>
      <c r="F120" s="326">
        <f>100*VLOOKUP(Data!C282,Data!A282:B286,2,FALSE)</f>
        <v>8</v>
      </c>
      <c r="G120" s="121"/>
      <c r="H120" s="122"/>
      <c r="I120" s="2"/>
      <c r="J120" s="2"/>
    </row>
    <row r="121" spans="1:10" ht="19.5" thickBot="1">
      <c r="A121" s="48"/>
      <c r="B121" s="312">
        <v>5</v>
      </c>
      <c r="C121" s="380" t="s">
        <v>364</v>
      </c>
      <c r="D121" s="340"/>
      <c r="E121" s="340"/>
      <c r="F121" s="327">
        <f>VLOOKUP(Data!C296,Data!A296:B313,2,FALSE)</f>
        <v>0.3</v>
      </c>
      <c r="H121" s="59"/>
      <c r="I121" s="59"/>
      <c r="J121" s="59"/>
    </row>
    <row r="122" spans="1:10" ht="16.5" thickBot="1">
      <c r="A122" s="53"/>
      <c r="B122" s="312">
        <v>6</v>
      </c>
      <c r="C122" s="380" t="s">
        <v>362</v>
      </c>
      <c r="D122" s="340"/>
      <c r="E122" s="340"/>
      <c r="F122" s="326">
        <f>VLOOKUP(Data!M84,Data!K84:L96,2,FALSE)</f>
        <v>0.6</v>
      </c>
      <c r="H122" s="2"/>
      <c r="I122" s="2"/>
      <c r="J122" s="2"/>
    </row>
    <row r="123" spans="1:10" ht="16.5" thickBot="1">
      <c r="A123" s="53"/>
      <c r="B123" s="312">
        <v>7</v>
      </c>
      <c r="C123" s="385" t="s">
        <v>363</v>
      </c>
      <c r="D123" s="386"/>
      <c r="E123" s="386"/>
      <c r="F123" s="328">
        <f>F101</f>
        <v>0.6</v>
      </c>
      <c r="H123" s="2"/>
      <c r="I123" s="2"/>
      <c r="J123" s="2"/>
    </row>
    <row r="124" spans="1:10" ht="15.75">
      <c r="A124" s="214" t="s">
        <v>315</v>
      </c>
      <c r="B124" s="215"/>
      <c r="C124" s="2"/>
      <c r="D124" s="2"/>
      <c r="E124" s="215"/>
      <c r="F124" s="215"/>
      <c r="G124" s="215"/>
      <c r="H124" s="215"/>
      <c r="I124" s="215"/>
      <c r="J124" s="215"/>
    </row>
    <row r="125" spans="1:10" ht="15.75">
      <c r="A125" s="214"/>
      <c r="B125" s="215" t="s">
        <v>316</v>
      </c>
      <c r="C125" s="245"/>
      <c r="D125" s="2"/>
      <c r="E125" s="215"/>
      <c r="F125" s="215"/>
      <c r="G125" s="215"/>
      <c r="H125" s="215"/>
      <c r="I125" s="215"/>
      <c r="J125" s="215"/>
    </row>
    <row r="126" spans="1:10" ht="15.75">
      <c r="A126" s="2"/>
      <c r="B126" s="2"/>
      <c r="C126" s="215"/>
      <c r="D126" s="62" t="s">
        <v>328</v>
      </c>
      <c r="F126" s="38"/>
      <c r="G126" s="38"/>
      <c r="H126" s="38"/>
      <c r="I126" s="2"/>
      <c r="J126" s="2"/>
    </row>
    <row r="127" spans="1:10" ht="23.25">
      <c r="A127" s="246"/>
      <c r="C127" s="61"/>
      <c r="D127" s="79"/>
      <c r="E127" s="79"/>
      <c r="F127" s="79"/>
      <c r="G127" s="79"/>
      <c r="H127" s="5"/>
      <c r="I127" s="5"/>
      <c r="J127" s="5"/>
    </row>
  </sheetData>
  <sheetProtection formatColumns="0" formatRows="0" insertColumns="0" insertRows="0" insertHyperlinks="0" deleteColumns="0" deleteRows="0" autoFilter="0" pivotTables="0"/>
  <mergeCells count="86">
    <mergeCell ref="B14:B15"/>
    <mergeCell ref="B16:B17"/>
    <mergeCell ref="A61:B61"/>
    <mergeCell ref="C62:D62"/>
    <mergeCell ref="A62:B62"/>
    <mergeCell ref="A54:B54"/>
    <mergeCell ref="A56:B56"/>
    <mergeCell ref="D14:E14"/>
    <mergeCell ref="D15:E15"/>
    <mergeCell ref="E27:F27"/>
    <mergeCell ref="E29:F29"/>
    <mergeCell ref="C73:E73"/>
    <mergeCell ref="C66:D66"/>
    <mergeCell ref="C69:I69"/>
    <mergeCell ref="F63:G63"/>
    <mergeCell ref="C64:D64"/>
    <mergeCell ref="C65:D65"/>
    <mergeCell ref="C63:D63"/>
    <mergeCell ref="E30:F30"/>
    <mergeCell ref="E31:F31"/>
    <mergeCell ref="A6:D6"/>
    <mergeCell ref="B8:B9"/>
    <mergeCell ref="B10:B11"/>
    <mergeCell ref="B12:B13"/>
    <mergeCell ref="D9:E9"/>
    <mergeCell ref="D10:E10"/>
    <mergeCell ref="D11:E11"/>
    <mergeCell ref="D12:E12"/>
    <mergeCell ref="D13:E13"/>
    <mergeCell ref="E26:F26"/>
    <mergeCell ref="F8:F9"/>
    <mergeCell ref="F10:F11"/>
    <mergeCell ref="F12:F13"/>
    <mergeCell ref="F14:F15"/>
    <mergeCell ref="D16:E16"/>
    <mergeCell ref="F16:F17"/>
    <mergeCell ref="D8:E8"/>
    <mergeCell ref="E100:G100"/>
    <mergeCell ref="F46:H46"/>
    <mergeCell ref="A59:B59"/>
    <mergeCell ref="A60:B60"/>
    <mergeCell ref="A63:B63"/>
    <mergeCell ref="A58:B58"/>
    <mergeCell ref="A57:B57"/>
    <mergeCell ref="B46:E46"/>
    <mergeCell ref="A65:B65"/>
    <mergeCell ref="A64:B64"/>
    <mergeCell ref="F97:I97"/>
    <mergeCell ref="B113:C113"/>
    <mergeCell ref="F110:F111"/>
    <mergeCell ref="G84:H84"/>
    <mergeCell ref="A66:B66"/>
    <mergeCell ref="A67:B67"/>
    <mergeCell ref="B68:J68"/>
    <mergeCell ref="A82:B82"/>
    <mergeCell ref="F98:I98"/>
    <mergeCell ref="H12:I12"/>
    <mergeCell ref="H13:I13"/>
    <mergeCell ref="H16:I16"/>
    <mergeCell ref="E32:F32"/>
    <mergeCell ref="H17:I17"/>
    <mergeCell ref="D17:E17"/>
    <mergeCell ref="E19:F19"/>
    <mergeCell ref="E20:F20"/>
    <mergeCell ref="E21:F21"/>
    <mergeCell ref="E22:F22"/>
    <mergeCell ref="H8:I8"/>
    <mergeCell ref="H9:I9"/>
    <mergeCell ref="H10:I10"/>
    <mergeCell ref="H11:I11"/>
    <mergeCell ref="C123:E123"/>
    <mergeCell ref="C116:D116"/>
    <mergeCell ref="C118:D118"/>
    <mergeCell ref="C119:D119"/>
    <mergeCell ref="C120:E120"/>
    <mergeCell ref="C117:D117"/>
    <mergeCell ref="H14:I14"/>
    <mergeCell ref="H15:I15"/>
    <mergeCell ref="C121:E121"/>
    <mergeCell ref="C122:E122"/>
    <mergeCell ref="E24:F24"/>
    <mergeCell ref="E25:F25"/>
    <mergeCell ref="E45:F45"/>
    <mergeCell ref="E44:F44"/>
    <mergeCell ref="E42:F42"/>
    <mergeCell ref="E41:F41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31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7" width="9.140625" style="107" customWidth="1"/>
    <col min="8" max="8" width="10.28125" style="107" bestFit="1" customWidth="1"/>
    <col min="9" max="16384" width="9.140625" style="107" customWidth="1"/>
  </cols>
  <sheetData>
    <row r="1" spans="1:15" ht="23.25">
      <c r="A1" s="418" t="s">
        <v>110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</row>
    <row r="2" spans="1:15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2.75">
      <c r="A3" s="108"/>
      <c r="B3" s="108"/>
      <c r="C3" s="108"/>
      <c r="D3" s="108"/>
      <c r="E3" s="108"/>
      <c r="F3" s="108"/>
      <c r="G3" s="108" t="s">
        <v>82</v>
      </c>
      <c r="H3" s="108"/>
      <c r="I3" s="108"/>
      <c r="J3" s="108"/>
      <c r="K3" s="108"/>
      <c r="L3" s="108"/>
      <c r="M3" s="108"/>
      <c r="N3" s="108"/>
      <c r="O3" s="108"/>
    </row>
    <row r="4" spans="1:15" ht="12.75">
      <c r="A4" s="108" t="s">
        <v>80</v>
      </c>
      <c r="B4" s="108"/>
      <c r="C4" s="108"/>
      <c r="D4" s="108" t="s">
        <v>81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.75">
      <c r="A5" s="108">
        <v>1</v>
      </c>
      <c r="B5" s="108">
        <v>1</v>
      </c>
      <c r="C5" s="417">
        <v>11</v>
      </c>
      <c r="D5" s="108">
        <v>1</v>
      </c>
      <c r="E5" s="108">
        <v>1</v>
      </c>
      <c r="F5" s="417">
        <v>11</v>
      </c>
      <c r="G5" s="108">
        <v>1</v>
      </c>
      <c r="H5" s="108">
        <v>0.06</v>
      </c>
      <c r="I5" s="108">
        <v>0.06</v>
      </c>
      <c r="J5" s="108" t="s">
        <v>14</v>
      </c>
      <c r="K5" s="417">
        <v>3</v>
      </c>
      <c r="L5" s="108"/>
      <c r="M5" s="108"/>
      <c r="N5" s="108"/>
      <c r="O5" s="108"/>
    </row>
    <row r="6" spans="1:15" ht="12.75">
      <c r="A6" s="108">
        <v>2</v>
      </c>
      <c r="B6" s="108">
        <v>1.2</v>
      </c>
      <c r="C6" s="417"/>
      <c r="D6" s="108">
        <v>2</v>
      </c>
      <c r="E6" s="108">
        <v>1.2</v>
      </c>
      <c r="F6" s="417"/>
      <c r="G6" s="108">
        <v>2</v>
      </c>
      <c r="H6" s="108">
        <v>0.08</v>
      </c>
      <c r="I6" s="108">
        <v>0.08</v>
      </c>
      <c r="J6" s="108" t="s">
        <v>14</v>
      </c>
      <c r="K6" s="417"/>
      <c r="L6" s="108"/>
      <c r="M6" s="108"/>
      <c r="N6" s="108"/>
      <c r="O6" s="108"/>
    </row>
    <row r="7" spans="1:15" ht="12.75">
      <c r="A7" s="108">
        <v>3</v>
      </c>
      <c r="B7" s="108">
        <v>1.5</v>
      </c>
      <c r="C7" s="417"/>
      <c r="D7" s="108">
        <v>3</v>
      </c>
      <c r="E7" s="108">
        <v>1.5</v>
      </c>
      <c r="F7" s="417"/>
      <c r="G7" s="108">
        <v>3</v>
      </c>
      <c r="H7" s="108">
        <v>0.1</v>
      </c>
      <c r="I7" s="108">
        <v>0.1</v>
      </c>
      <c r="J7" s="108" t="s">
        <v>14</v>
      </c>
      <c r="K7" s="417"/>
      <c r="L7" s="108"/>
      <c r="M7" s="108"/>
      <c r="N7" s="108"/>
      <c r="O7" s="108"/>
    </row>
    <row r="8" spans="1:15" ht="12.75">
      <c r="A8" s="108">
        <v>4</v>
      </c>
      <c r="B8" s="108">
        <v>1.2</v>
      </c>
      <c r="C8" s="417"/>
      <c r="D8" s="108">
        <v>4</v>
      </c>
      <c r="E8" s="108">
        <v>1.2</v>
      </c>
      <c r="F8" s="417"/>
      <c r="G8" s="108">
        <v>4</v>
      </c>
      <c r="H8" s="108">
        <v>0.12</v>
      </c>
      <c r="I8" s="108">
        <v>0.12</v>
      </c>
      <c r="J8" s="108" t="s">
        <v>14</v>
      </c>
      <c r="K8" s="417"/>
      <c r="L8" s="108"/>
      <c r="M8" s="108"/>
      <c r="N8" s="108"/>
      <c r="O8" s="108"/>
    </row>
    <row r="9" spans="1:15" ht="12.75">
      <c r="A9" s="108">
        <v>5</v>
      </c>
      <c r="B9" s="108">
        <v>2</v>
      </c>
      <c r="C9" s="417"/>
      <c r="D9" s="108">
        <v>5</v>
      </c>
      <c r="E9" s="108">
        <v>2</v>
      </c>
      <c r="F9" s="417"/>
      <c r="G9" s="108">
        <v>5</v>
      </c>
      <c r="H9" s="108">
        <v>0.14</v>
      </c>
      <c r="I9" s="108">
        <v>0.14</v>
      </c>
      <c r="J9" s="108" t="s">
        <v>14</v>
      </c>
      <c r="K9" s="417"/>
      <c r="L9" s="108"/>
      <c r="M9" s="108"/>
      <c r="N9" s="108"/>
      <c r="O9" s="108"/>
    </row>
    <row r="10" spans="1:15" ht="12.75">
      <c r="A10" s="108">
        <v>6</v>
      </c>
      <c r="B10" s="108">
        <v>2.2</v>
      </c>
      <c r="C10" s="417"/>
      <c r="D10" s="108">
        <v>6</v>
      </c>
      <c r="E10" s="108">
        <v>2.2</v>
      </c>
      <c r="F10" s="417"/>
      <c r="G10" s="108">
        <v>6</v>
      </c>
      <c r="H10" s="108">
        <v>0.15</v>
      </c>
      <c r="I10" s="108">
        <v>0.15</v>
      </c>
      <c r="J10" s="108" t="s">
        <v>14</v>
      </c>
      <c r="K10" s="417"/>
      <c r="L10" s="108"/>
      <c r="M10" s="108"/>
      <c r="N10" s="108"/>
      <c r="O10" s="108"/>
    </row>
    <row r="11" spans="1:15" ht="12.75">
      <c r="A11" s="108">
        <v>7</v>
      </c>
      <c r="B11" s="108">
        <v>2.4</v>
      </c>
      <c r="C11" s="417"/>
      <c r="D11" s="108">
        <v>7</v>
      </c>
      <c r="E11" s="108">
        <v>2.4</v>
      </c>
      <c r="F11" s="417"/>
      <c r="G11" s="108">
        <v>7</v>
      </c>
      <c r="H11" s="108">
        <v>0.16</v>
      </c>
      <c r="I11" s="108">
        <v>0.16</v>
      </c>
      <c r="J11" s="108" t="s">
        <v>14</v>
      </c>
      <c r="K11" s="417"/>
      <c r="L11" s="108"/>
      <c r="M11" s="108"/>
      <c r="N11" s="108"/>
      <c r="O11" s="108"/>
    </row>
    <row r="12" spans="1:15" ht="12.75">
      <c r="A12" s="108">
        <v>8</v>
      </c>
      <c r="B12" s="108">
        <v>2.5</v>
      </c>
      <c r="C12" s="417"/>
      <c r="D12" s="108">
        <v>8</v>
      </c>
      <c r="E12" s="108">
        <v>2.5</v>
      </c>
      <c r="F12" s="417"/>
      <c r="G12" s="108"/>
      <c r="H12" s="108"/>
      <c r="I12" s="108"/>
      <c r="J12" s="108"/>
      <c r="K12" s="172"/>
      <c r="L12" s="108"/>
      <c r="M12" s="108"/>
      <c r="N12" s="108"/>
      <c r="O12" s="108"/>
    </row>
    <row r="13" spans="1:15" ht="12.75">
      <c r="A13" s="108">
        <v>9</v>
      </c>
      <c r="B13" s="108">
        <v>2.6</v>
      </c>
      <c r="C13" s="417"/>
      <c r="D13" s="108">
        <v>9</v>
      </c>
      <c r="E13" s="108">
        <v>2.6</v>
      </c>
      <c r="F13" s="417"/>
      <c r="G13" s="108"/>
      <c r="H13" s="108"/>
      <c r="I13" s="108"/>
      <c r="J13" s="108"/>
      <c r="K13" s="172"/>
      <c r="L13" s="108"/>
      <c r="M13" s="108"/>
      <c r="N13" s="108"/>
      <c r="O13" s="108"/>
    </row>
    <row r="14" spans="1:15" ht="12.75">
      <c r="A14" s="108">
        <v>10</v>
      </c>
      <c r="B14" s="108">
        <v>2.8</v>
      </c>
      <c r="C14" s="417"/>
      <c r="D14" s="108">
        <v>10</v>
      </c>
      <c r="E14" s="108">
        <v>2.8</v>
      </c>
      <c r="F14" s="417"/>
      <c r="G14" s="108"/>
      <c r="H14" s="108"/>
      <c r="I14" s="108"/>
      <c r="J14" s="108"/>
      <c r="K14" s="172"/>
      <c r="L14" s="108"/>
      <c r="M14" s="108"/>
      <c r="N14" s="108"/>
      <c r="O14" s="108"/>
    </row>
    <row r="15" spans="1:15" ht="12.75">
      <c r="A15" s="108">
        <v>11</v>
      </c>
      <c r="B15" s="108">
        <v>3</v>
      </c>
      <c r="C15" s="417"/>
      <c r="D15" s="108">
        <v>11</v>
      </c>
      <c r="E15" s="108">
        <v>3</v>
      </c>
      <c r="F15" s="417"/>
      <c r="G15" s="108" t="s">
        <v>83</v>
      </c>
      <c r="H15" s="108"/>
      <c r="I15" s="108" t="s">
        <v>14</v>
      </c>
      <c r="J15" s="108"/>
      <c r="K15" s="108"/>
      <c r="L15" s="108"/>
      <c r="M15" s="108"/>
      <c r="N15" s="108"/>
      <c r="O15" s="108"/>
    </row>
    <row r="16" spans="1:18" ht="12.75">
      <c r="A16" s="108">
        <v>12</v>
      </c>
      <c r="B16" s="108">
        <v>3.2</v>
      </c>
      <c r="C16" s="417"/>
      <c r="D16" s="108">
        <v>12</v>
      </c>
      <c r="E16" s="108">
        <v>3.2</v>
      </c>
      <c r="F16" s="417"/>
      <c r="G16" s="417">
        <v>6</v>
      </c>
      <c r="H16" s="108">
        <v>1</v>
      </c>
      <c r="I16" s="108">
        <v>0.1</v>
      </c>
      <c r="J16" s="417">
        <v>6</v>
      </c>
      <c r="K16" s="108">
        <v>1</v>
      </c>
      <c r="L16" s="108">
        <v>0.1</v>
      </c>
      <c r="M16" s="417">
        <v>6</v>
      </c>
      <c r="N16" s="108">
        <v>1</v>
      </c>
      <c r="O16" s="108">
        <v>0.1</v>
      </c>
      <c r="P16" s="398">
        <v>6</v>
      </c>
      <c r="Q16" s="107">
        <v>1</v>
      </c>
      <c r="R16" s="107">
        <v>0.1</v>
      </c>
    </row>
    <row r="17" spans="1:18" ht="12.75">
      <c r="A17" s="108">
        <v>13</v>
      </c>
      <c r="B17" s="108">
        <v>3.4</v>
      </c>
      <c r="C17" s="417"/>
      <c r="D17" s="108">
        <v>13</v>
      </c>
      <c r="E17" s="108">
        <v>3.4</v>
      </c>
      <c r="F17" s="417"/>
      <c r="G17" s="417"/>
      <c r="H17" s="108">
        <v>2</v>
      </c>
      <c r="I17" s="108">
        <v>0.12</v>
      </c>
      <c r="J17" s="417"/>
      <c r="K17" s="108">
        <v>2</v>
      </c>
      <c r="L17" s="108">
        <v>0.12</v>
      </c>
      <c r="M17" s="417"/>
      <c r="N17" s="108">
        <v>2</v>
      </c>
      <c r="O17" s="108">
        <v>0.12</v>
      </c>
      <c r="P17" s="398"/>
      <c r="Q17" s="107">
        <v>2</v>
      </c>
      <c r="R17" s="107">
        <v>0.12</v>
      </c>
    </row>
    <row r="18" spans="1:18" ht="12.75">
      <c r="A18" s="108">
        <v>14</v>
      </c>
      <c r="B18" s="108">
        <v>3.5</v>
      </c>
      <c r="C18" s="417"/>
      <c r="D18" s="108">
        <v>14</v>
      </c>
      <c r="E18" s="108">
        <v>3.5</v>
      </c>
      <c r="F18" s="417"/>
      <c r="G18" s="417"/>
      <c r="H18" s="108">
        <v>3</v>
      </c>
      <c r="I18" s="108">
        <v>0.15</v>
      </c>
      <c r="J18" s="417"/>
      <c r="K18" s="108">
        <v>3</v>
      </c>
      <c r="L18" s="108">
        <v>0.15</v>
      </c>
      <c r="M18" s="417"/>
      <c r="N18" s="108">
        <v>3</v>
      </c>
      <c r="O18" s="108">
        <v>0.15</v>
      </c>
      <c r="P18" s="398"/>
      <c r="Q18" s="107">
        <v>3</v>
      </c>
      <c r="R18" s="107">
        <v>0.15</v>
      </c>
    </row>
    <row r="19" spans="1:18" ht="12.75">
      <c r="A19" s="108">
        <v>15</v>
      </c>
      <c r="B19" s="108">
        <v>3.6</v>
      </c>
      <c r="C19" s="417"/>
      <c r="D19" s="108">
        <v>15</v>
      </c>
      <c r="E19" s="108">
        <v>3.6</v>
      </c>
      <c r="F19" s="417"/>
      <c r="G19" s="417"/>
      <c r="H19" s="108">
        <v>4</v>
      </c>
      <c r="I19" s="108">
        <v>0.16</v>
      </c>
      <c r="J19" s="417"/>
      <c r="K19" s="108">
        <v>4</v>
      </c>
      <c r="L19" s="108">
        <v>0.16</v>
      </c>
      <c r="M19" s="417"/>
      <c r="N19" s="108">
        <v>4</v>
      </c>
      <c r="O19" s="108">
        <v>0.16</v>
      </c>
      <c r="P19" s="398"/>
      <c r="Q19" s="107">
        <v>4</v>
      </c>
      <c r="R19" s="107">
        <v>0.16</v>
      </c>
    </row>
    <row r="20" spans="1:18" ht="12.75">
      <c r="A20" s="108">
        <v>16</v>
      </c>
      <c r="B20" s="108">
        <v>3.8</v>
      </c>
      <c r="C20" s="417"/>
      <c r="D20" s="108">
        <v>16</v>
      </c>
      <c r="E20" s="108">
        <v>3.8</v>
      </c>
      <c r="F20" s="417"/>
      <c r="G20" s="417"/>
      <c r="H20" s="108">
        <v>5</v>
      </c>
      <c r="I20" s="108">
        <v>0.18</v>
      </c>
      <c r="J20" s="417"/>
      <c r="K20" s="108">
        <v>5</v>
      </c>
      <c r="L20" s="108">
        <v>0.18</v>
      </c>
      <c r="M20" s="417"/>
      <c r="N20" s="108">
        <v>5</v>
      </c>
      <c r="O20" s="108">
        <v>0.18</v>
      </c>
      <c r="P20" s="398"/>
      <c r="Q20" s="107">
        <v>5</v>
      </c>
      <c r="R20" s="107">
        <v>0.18</v>
      </c>
    </row>
    <row r="21" spans="1:18" ht="12.75">
      <c r="A21" s="108">
        <v>17</v>
      </c>
      <c r="B21" s="108">
        <v>4</v>
      </c>
      <c r="C21" s="417"/>
      <c r="D21" s="108">
        <v>17</v>
      </c>
      <c r="E21" s="108">
        <v>4</v>
      </c>
      <c r="F21" s="417"/>
      <c r="G21" s="417"/>
      <c r="H21" s="108">
        <v>6</v>
      </c>
      <c r="I21" s="108">
        <v>0.2</v>
      </c>
      <c r="J21" s="417"/>
      <c r="K21" s="108">
        <v>6</v>
      </c>
      <c r="L21" s="108">
        <v>0.2</v>
      </c>
      <c r="M21" s="417"/>
      <c r="N21" s="108">
        <v>6</v>
      </c>
      <c r="O21" s="108">
        <v>0.2</v>
      </c>
      <c r="P21" s="398"/>
      <c r="Q21" s="107">
        <v>6</v>
      </c>
      <c r="R21" s="107">
        <v>0.2</v>
      </c>
    </row>
    <row r="22" spans="1:18" ht="12.75">
      <c r="A22" s="108">
        <v>18</v>
      </c>
      <c r="B22" s="108">
        <v>4.2</v>
      </c>
      <c r="C22" s="417"/>
      <c r="D22" s="108">
        <v>18</v>
      </c>
      <c r="E22" s="108">
        <v>4.2</v>
      </c>
      <c r="F22" s="417"/>
      <c r="G22" s="417"/>
      <c r="H22" s="108">
        <v>7</v>
      </c>
      <c r="I22" s="108">
        <v>0.25</v>
      </c>
      <c r="J22" s="417"/>
      <c r="K22" s="108">
        <v>7</v>
      </c>
      <c r="L22" s="108">
        <v>0.25</v>
      </c>
      <c r="M22" s="417"/>
      <c r="N22" s="108">
        <v>7</v>
      </c>
      <c r="O22" s="108">
        <v>0.25</v>
      </c>
      <c r="P22" s="398"/>
      <c r="Q22" s="107">
        <v>7</v>
      </c>
      <c r="R22" s="107">
        <v>0.25</v>
      </c>
    </row>
    <row r="23" spans="1:18" ht="12.75">
      <c r="A23" s="108">
        <v>19</v>
      </c>
      <c r="B23" s="108">
        <v>4.4</v>
      </c>
      <c r="C23" s="417"/>
      <c r="D23" s="108">
        <v>19</v>
      </c>
      <c r="E23" s="108">
        <v>4.4</v>
      </c>
      <c r="F23" s="417"/>
      <c r="G23" s="417"/>
      <c r="H23" s="108">
        <v>8</v>
      </c>
      <c r="I23" s="108">
        <v>0.3</v>
      </c>
      <c r="J23" s="417"/>
      <c r="K23" s="108">
        <v>8</v>
      </c>
      <c r="L23" s="108">
        <v>0.3</v>
      </c>
      <c r="M23" s="417"/>
      <c r="N23" s="108">
        <v>8</v>
      </c>
      <c r="O23" s="108">
        <v>0.3</v>
      </c>
      <c r="P23" s="398"/>
      <c r="Q23" s="107">
        <v>8</v>
      </c>
      <c r="R23" s="107">
        <v>0.3</v>
      </c>
    </row>
    <row r="24" spans="1:18" ht="12.75">
      <c r="A24" s="108">
        <v>20</v>
      </c>
      <c r="B24" s="108">
        <v>4.5</v>
      </c>
      <c r="C24" s="417"/>
      <c r="D24" s="108">
        <v>20</v>
      </c>
      <c r="E24" s="108">
        <v>4.5</v>
      </c>
      <c r="F24" s="417"/>
      <c r="G24" s="417"/>
      <c r="H24" s="108">
        <v>9</v>
      </c>
      <c r="I24" s="108">
        <v>0.35</v>
      </c>
      <c r="J24" s="417"/>
      <c r="K24" s="108">
        <v>9</v>
      </c>
      <c r="L24" s="108">
        <v>0.35</v>
      </c>
      <c r="M24" s="417"/>
      <c r="N24" s="108">
        <v>9</v>
      </c>
      <c r="O24" s="108">
        <v>0.35</v>
      </c>
      <c r="P24" s="398"/>
      <c r="Q24" s="107">
        <v>9</v>
      </c>
      <c r="R24" s="107">
        <v>0.35</v>
      </c>
    </row>
    <row r="25" spans="1:18" ht="12.75">
      <c r="A25" s="108">
        <v>21</v>
      </c>
      <c r="B25" s="108">
        <v>4.6</v>
      </c>
      <c r="C25" s="417"/>
      <c r="D25" s="108">
        <v>21</v>
      </c>
      <c r="E25" s="108">
        <v>4.6</v>
      </c>
      <c r="F25" s="417"/>
      <c r="G25" s="417"/>
      <c r="H25" s="108">
        <v>10</v>
      </c>
      <c r="I25" s="108">
        <v>0.4</v>
      </c>
      <c r="J25" s="417"/>
      <c r="K25" s="108">
        <v>10</v>
      </c>
      <c r="L25" s="108">
        <v>0.4</v>
      </c>
      <c r="M25" s="417"/>
      <c r="N25" s="108">
        <v>10</v>
      </c>
      <c r="O25" s="108">
        <v>0.4</v>
      </c>
      <c r="P25" s="398"/>
      <c r="Q25" s="107">
        <v>10</v>
      </c>
      <c r="R25" s="107">
        <v>0.4</v>
      </c>
    </row>
    <row r="26" spans="1:18" ht="12.75">
      <c r="A26" s="108">
        <v>22</v>
      </c>
      <c r="B26" s="108">
        <v>4.8</v>
      </c>
      <c r="C26" s="417"/>
      <c r="D26" s="108">
        <v>22</v>
      </c>
      <c r="E26" s="108">
        <v>4.8</v>
      </c>
      <c r="F26" s="417"/>
      <c r="G26" s="417"/>
      <c r="H26" s="108">
        <v>11</v>
      </c>
      <c r="I26" s="108">
        <v>0.45</v>
      </c>
      <c r="J26" s="417"/>
      <c r="K26" s="108">
        <v>11</v>
      </c>
      <c r="L26" s="108">
        <v>0.45</v>
      </c>
      <c r="M26" s="417"/>
      <c r="N26" s="108">
        <v>11</v>
      </c>
      <c r="O26" s="108">
        <v>0.45</v>
      </c>
      <c r="P26" s="398"/>
      <c r="Q26" s="107">
        <v>11</v>
      </c>
      <c r="R26" s="107">
        <v>0.45</v>
      </c>
    </row>
    <row r="27" spans="1:18" ht="12.75">
      <c r="A27" s="108">
        <v>23</v>
      </c>
      <c r="B27" s="108">
        <v>5</v>
      </c>
      <c r="C27" s="417"/>
      <c r="D27" s="108">
        <v>23</v>
      </c>
      <c r="E27" s="108">
        <v>5</v>
      </c>
      <c r="F27" s="417"/>
      <c r="G27" s="417"/>
      <c r="H27" s="108">
        <v>12</v>
      </c>
      <c r="I27" s="108">
        <v>0.5</v>
      </c>
      <c r="J27" s="417"/>
      <c r="K27" s="108">
        <v>12</v>
      </c>
      <c r="L27" s="108">
        <v>0.5</v>
      </c>
      <c r="M27" s="417"/>
      <c r="N27" s="108">
        <v>12</v>
      </c>
      <c r="O27" s="108">
        <v>0.5</v>
      </c>
      <c r="P27" s="398"/>
      <c r="Q27" s="107">
        <v>12</v>
      </c>
      <c r="R27" s="107">
        <v>0.5</v>
      </c>
    </row>
    <row r="28" spans="1:15" ht="12.75">
      <c r="A28" s="108">
        <v>24</v>
      </c>
      <c r="B28" s="108">
        <v>5.2</v>
      </c>
      <c r="C28" s="417"/>
      <c r="D28" s="108">
        <v>24</v>
      </c>
      <c r="E28" s="108">
        <v>5.2</v>
      </c>
      <c r="F28" s="417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ht="12.75">
      <c r="A29" s="108">
        <v>25</v>
      </c>
      <c r="B29" s="108">
        <v>5.4</v>
      </c>
      <c r="C29" s="417"/>
      <c r="D29" s="108">
        <v>25</v>
      </c>
      <c r="E29" s="108">
        <v>5.4</v>
      </c>
      <c r="F29" s="417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ht="12.75">
      <c r="A30" s="108">
        <v>26</v>
      </c>
      <c r="B30" s="108">
        <v>5.5</v>
      </c>
      <c r="C30" s="417"/>
      <c r="D30" s="108">
        <v>26</v>
      </c>
      <c r="E30" s="108">
        <v>5.5</v>
      </c>
      <c r="F30" s="417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5" ht="12.75">
      <c r="A31" s="108">
        <v>27</v>
      </c>
      <c r="B31" s="108">
        <v>5.6</v>
      </c>
      <c r="C31" s="417"/>
      <c r="D31" s="108">
        <v>27</v>
      </c>
      <c r="E31" s="108">
        <v>5.6</v>
      </c>
      <c r="F31" s="417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ht="12.75">
      <c r="A32" s="108">
        <v>28</v>
      </c>
      <c r="B32" s="108">
        <v>5.8</v>
      </c>
      <c r="C32" s="417"/>
      <c r="D32" s="108">
        <v>28</v>
      </c>
      <c r="E32" s="108">
        <v>5.8</v>
      </c>
      <c r="F32" s="417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1:15" ht="12.75">
      <c r="A33" s="108">
        <v>29</v>
      </c>
      <c r="B33" s="108">
        <v>6</v>
      </c>
      <c r="C33" s="417"/>
      <c r="D33" s="108">
        <v>29</v>
      </c>
      <c r="E33" s="108">
        <v>6</v>
      </c>
      <c r="F33" s="417"/>
      <c r="G33" s="108"/>
      <c r="H33" s="108"/>
      <c r="I33" s="108"/>
      <c r="J33" s="108"/>
      <c r="K33" s="108"/>
      <c r="L33" s="108"/>
      <c r="M33" s="108"/>
      <c r="N33" s="108" t="s">
        <v>227</v>
      </c>
      <c r="O33" s="108"/>
    </row>
    <row r="34" spans="1:15" ht="15.75">
      <c r="A34" s="108">
        <v>30</v>
      </c>
      <c r="B34" s="108">
        <v>6.2</v>
      </c>
      <c r="C34" s="417"/>
      <c r="D34" s="108">
        <v>30</v>
      </c>
      <c r="E34" s="108">
        <v>6.2</v>
      </c>
      <c r="F34" s="417"/>
      <c r="G34" s="173" t="s">
        <v>2</v>
      </c>
      <c r="H34" s="173"/>
      <c r="I34" s="173"/>
      <c r="J34" s="173"/>
      <c r="K34" s="108"/>
      <c r="L34" s="108">
        <v>0</v>
      </c>
      <c r="M34" s="410">
        <v>2</v>
      </c>
      <c r="N34" s="410">
        <v>2</v>
      </c>
      <c r="O34" s="108"/>
    </row>
    <row r="35" spans="1:25" ht="12.75">
      <c r="A35" s="108">
        <v>31</v>
      </c>
      <c r="B35" s="108">
        <v>6.4</v>
      </c>
      <c r="C35" s="417"/>
      <c r="D35" s="108">
        <v>31</v>
      </c>
      <c r="E35" s="108">
        <v>6.4</v>
      </c>
      <c r="F35" s="417"/>
      <c r="G35" s="108"/>
      <c r="H35" s="108"/>
      <c r="I35" s="108"/>
      <c r="J35" s="108"/>
      <c r="K35" s="108"/>
      <c r="L35" s="108">
        <v>200</v>
      </c>
      <c r="M35" s="410"/>
      <c r="N35" s="410"/>
      <c r="O35" s="108"/>
      <c r="R35" s="107" t="s">
        <v>141</v>
      </c>
      <c r="V35" s="107" t="s">
        <v>334</v>
      </c>
      <c r="W35" s="107" t="s">
        <v>334</v>
      </c>
      <c r="X35" s="107" t="s">
        <v>349</v>
      </c>
      <c r="Y35" s="107" t="s">
        <v>349</v>
      </c>
    </row>
    <row r="36" spans="1:25" ht="15.75">
      <c r="A36" s="108">
        <v>32</v>
      </c>
      <c r="B36" s="108">
        <v>6.5</v>
      </c>
      <c r="C36" s="417"/>
      <c r="D36" s="108">
        <v>32</v>
      </c>
      <c r="E36" s="108">
        <v>6.5</v>
      </c>
      <c r="F36" s="417"/>
      <c r="G36" s="173" t="s">
        <v>3</v>
      </c>
      <c r="H36" s="173"/>
      <c r="I36" s="173"/>
      <c r="J36" s="173"/>
      <c r="K36" s="108"/>
      <c r="L36" s="108">
        <v>0</v>
      </c>
      <c r="M36" s="410">
        <v>2</v>
      </c>
      <c r="N36" s="410">
        <v>1</v>
      </c>
      <c r="O36" s="108"/>
      <c r="P36" s="419">
        <v>2</v>
      </c>
      <c r="Q36" s="411">
        <v>1</v>
      </c>
      <c r="R36" s="108"/>
      <c r="S36" s="109" t="s">
        <v>115</v>
      </c>
      <c r="T36" s="110" t="s">
        <v>114</v>
      </c>
      <c r="U36" s="411">
        <v>2</v>
      </c>
      <c r="V36" s="410">
        <v>1</v>
      </c>
      <c r="W36" s="411">
        <v>2</v>
      </c>
      <c r="X36" s="410">
        <v>1</v>
      </c>
      <c r="Y36" s="411">
        <v>2</v>
      </c>
    </row>
    <row r="37" spans="1:25" ht="12.75">
      <c r="A37" s="108">
        <v>33</v>
      </c>
      <c r="B37" s="108">
        <v>6.6</v>
      </c>
      <c r="C37" s="417"/>
      <c r="D37" s="108">
        <v>33</v>
      </c>
      <c r="E37" s="108">
        <v>6.6</v>
      </c>
      <c r="F37" s="417"/>
      <c r="G37" s="108"/>
      <c r="H37" s="108"/>
      <c r="I37" s="108"/>
      <c r="J37" s="108"/>
      <c r="K37" s="108"/>
      <c r="L37" s="108">
        <v>200</v>
      </c>
      <c r="M37" s="410"/>
      <c r="N37" s="410"/>
      <c r="O37" s="108"/>
      <c r="P37" s="419"/>
      <c r="Q37" s="412"/>
      <c r="R37" s="108">
        <v>1</v>
      </c>
      <c r="S37" s="108">
        <v>0</v>
      </c>
      <c r="T37" s="108">
        <v>1</v>
      </c>
      <c r="U37" s="412"/>
      <c r="V37" s="410"/>
      <c r="W37" s="412"/>
      <c r="X37" s="410"/>
      <c r="Y37" s="412"/>
    </row>
    <row r="38" spans="1:25" ht="15.75">
      <c r="A38" s="108">
        <v>34</v>
      </c>
      <c r="B38" s="108">
        <v>6.8</v>
      </c>
      <c r="C38" s="417"/>
      <c r="D38" s="108">
        <v>34</v>
      </c>
      <c r="E38" s="108">
        <v>6.8</v>
      </c>
      <c r="F38" s="417"/>
      <c r="G38" s="173" t="s">
        <v>4</v>
      </c>
      <c r="H38" s="173"/>
      <c r="I38" s="173"/>
      <c r="J38" s="173"/>
      <c r="K38" s="108"/>
      <c r="L38" s="108">
        <v>0</v>
      </c>
      <c r="M38" s="410">
        <v>2</v>
      </c>
      <c r="N38" s="410">
        <v>1</v>
      </c>
      <c r="O38" s="108"/>
      <c r="P38" s="419"/>
      <c r="Q38" s="412"/>
      <c r="R38" s="108">
        <v>2</v>
      </c>
      <c r="S38" s="108">
        <v>10</v>
      </c>
      <c r="T38" s="108">
        <v>0.99</v>
      </c>
      <c r="U38" s="412"/>
      <c r="V38" s="410"/>
      <c r="W38" s="412"/>
      <c r="X38" s="410"/>
      <c r="Y38" s="412"/>
    </row>
    <row r="39" spans="1:25" ht="12.75">
      <c r="A39" s="108">
        <v>35</v>
      </c>
      <c r="B39" s="108">
        <v>7</v>
      </c>
      <c r="C39" s="417"/>
      <c r="D39" s="108">
        <v>35</v>
      </c>
      <c r="E39" s="108">
        <v>7</v>
      </c>
      <c r="F39" s="417"/>
      <c r="G39" s="108"/>
      <c r="H39" s="108"/>
      <c r="I39" s="108"/>
      <c r="J39" s="108"/>
      <c r="K39" s="108"/>
      <c r="L39" s="108">
        <v>300</v>
      </c>
      <c r="M39" s="410"/>
      <c r="N39" s="410"/>
      <c r="O39" s="108"/>
      <c r="P39" s="419"/>
      <c r="Q39" s="412"/>
      <c r="R39" s="108">
        <v>3</v>
      </c>
      <c r="S39" s="108">
        <v>20</v>
      </c>
      <c r="T39" s="108">
        <v>0.97</v>
      </c>
      <c r="U39" s="412"/>
      <c r="V39" s="410"/>
      <c r="W39" s="412"/>
      <c r="X39" s="410"/>
      <c r="Y39" s="412"/>
    </row>
    <row r="40" spans="1:25" ht="15.75">
      <c r="A40" s="108">
        <v>36</v>
      </c>
      <c r="B40" s="108">
        <v>7.2</v>
      </c>
      <c r="C40" s="417"/>
      <c r="D40" s="108">
        <v>36</v>
      </c>
      <c r="E40" s="108">
        <v>7.2</v>
      </c>
      <c r="F40" s="417"/>
      <c r="G40" s="416" t="s">
        <v>5</v>
      </c>
      <c r="H40" s="416"/>
      <c r="I40" s="416"/>
      <c r="J40" s="416"/>
      <c r="K40" s="108"/>
      <c r="L40" s="108">
        <v>0</v>
      </c>
      <c r="M40" s="410">
        <v>1</v>
      </c>
      <c r="N40" s="410">
        <v>1</v>
      </c>
      <c r="O40" s="108"/>
      <c r="P40" s="419"/>
      <c r="Q40" s="412"/>
      <c r="R40" s="108">
        <v>4</v>
      </c>
      <c r="S40" s="108">
        <v>30</v>
      </c>
      <c r="T40" s="108">
        <v>0.93</v>
      </c>
      <c r="U40" s="412"/>
      <c r="V40" s="410"/>
      <c r="W40" s="412"/>
      <c r="X40" s="410"/>
      <c r="Y40" s="412"/>
    </row>
    <row r="41" spans="1:25" ht="12.75">
      <c r="A41" s="108">
        <v>37</v>
      </c>
      <c r="B41" s="108">
        <v>7.4</v>
      </c>
      <c r="C41" s="417"/>
      <c r="D41" s="108">
        <v>37</v>
      </c>
      <c r="E41" s="108">
        <v>7.4</v>
      </c>
      <c r="F41" s="417"/>
      <c r="G41" s="108"/>
      <c r="H41" s="108"/>
      <c r="I41" s="108"/>
      <c r="J41" s="108"/>
      <c r="K41" s="108"/>
      <c r="L41" s="108">
        <v>150</v>
      </c>
      <c r="M41" s="410"/>
      <c r="N41" s="410"/>
      <c r="O41" s="108"/>
      <c r="P41" s="419"/>
      <c r="Q41" s="412"/>
      <c r="R41" s="108">
        <v>5</v>
      </c>
      <c r="S41" s="108">
        <v>40</v>
      </c>
      <c r="T41" s="108">
        <v>0.87</v>
      </c>
      <c r="U41" s="412"/>
      <c r="V41" s="410"/>
      <c r="W41" s="412"/>
      <c r="X41" s="410"/>
      <c r="Y41" s="412"/>
    </row>
    <row r="42" spans="1:25" ht="15.75">
      <c r="A42" s="108">
        <v>38</v>
      </c>
      <c r="B42" s="108">
        <v>7.5</v>
      </c>
      <c r="C42" s="417"/>
      <c r="D42" s="108">
        <v>38</v>
      </c>
      <c r="E42" s="108">
        <v>7.5</v>
      </c>
      <c r="F42" s="417"/>
      <c r="G42" s="416" t="s">
        <v>6</v>
      </c>
      <c r="H42" s="416"/>
      <c r="I42" s="416"/>
      <c r="J42" s="416"/>
      <c r="K42" s="108"/>
      <c r="L42" s="108">
        <v>0</v>
      </c>
      <c r="M42" s="410">
        <v>2</v>
      </c>
      <c r="N42" s="410">
        <v>2</v>
      </c>
      <c r="O42" s="108"/>
      <c r="P42" s="419"/>
      <c r="Q42" s="412"/>
      <c r="R42" s="108">
        <v>6</v>
      </c>
      <c r="S42" s="108">
        <v>50</v>
      </c>
      <c r="T42" s="108">
        <v>0.8</v>
      </c>
      <c r="U42" s="412"/>
      <c r="V42" s="410"/>
      <c r="W42" s="412"/>
      <c r="X42" s="410"/>
      <c r="Y42" s="412"/>
    </row>
    <row r="43" spans="1:25" ht="12.75">
      <c r="A43" s="108">
        <v>39</v>
      </c>
      <c r="B43" s="108">
        <v>7.6</v>
      </c>
      <c r="C43" s="417"/>
      <c r="D43" s="108">
        <v>39</v>
      </c>
      <c r="E43" s="108">
        <v>7.6</v>
      </c>
      <c r="F43" s="417"/>
      <c r="G43" s="108"/>
      <c r="H43" s="108"/>
      <c r="I43" s="108"/>
      <c r="J43" s="108"/>
      <c r="K43" s="108"/>
      <c r="L43" s="108">
        <v>150</v>
      </c>
      <c r="M43" s="410"/>
      <c r="N43" s="410"/>
      <c r="O43" s="108"/>
      <c r="P43" s="419"/>
      <c r="Q43" s="412"/>
      <c r="R43" s="108">
        <v>7</v>
      </c>
      <c r="S43" s="108">
        <v>60</v>
      </c>
      <c r="T43" s="108">
        <v>0.71</v>
      </c>
      <c r="U43" s="412"/>
      <c r="V43" s="410"/>
      <c r="W43" s="412"/>
      <c r="X43" s="410"/>
      <c r="Y43" s="412"/>
    </row>
    <row r="44" spans="1:25" ht="12.75">
      <c r="A44" s="108">
        <v>40</v>
      </c>
      <c r="B44" s="108">
        <v>7.8</v>
      </c>
      <c r="C44" s="417"/>
      <c r="D44" s="108">
        <v>40</v>
      </c>
      <c r="E44" s="108">
        <v>7.8</v>
      </c>
      <c r="F44" s="417"/>
      <c r="G44" s="108"/>
      <c r="H44" s="108"/>
      <c r="I44" s="108"/>
      <c r="J44" s="108"/>
      <c r="K44" s="108"/>
      <c r="L44" s="108"/>
      <c r="M44" s="108"/>
      <c r="N44" s="108"/>
      <c r="O44" s="108"/>
      <c r="P44" s="419"/>
      <c r="Q44" s="412"/>
      <c r="R44" s="108">
        <v>8</v>
      </c>
      <c r="S44" s="108">
        <v>70</v>
      </c>
      <c r="T44" s="108">
        <v>0.58</v>
      </c>
      <c r="U44" s="412"/>
      <c r="V44" s="410"/>
      <c r="W44" s="412"/>
      <c r="X44" s="410"/>
      <c r="Y44" s="412"/>
    </row>
    <row r="45" spans="1:25" ht="12.75">
      <c r="A45" s="108">
        <v>41</v>
      </c>
      <c r="B45" s="108">
        <v>8</v>
      </c>
      <c r="C45" s="417"/>
      <c r="D45" s="108">
        <v>41</v>
      </c>
      <c r="E45" s="108">
        <v>8</v>
      </c>
      <c r="F45" s="417"/>
      <c r="G45" s="108"/>
      <c r="H45" s="108"/>
      <c r="I45" s="108"/>
      <c r="J45" s="108"/>
      <c r="K45" s="108"/>
      <c r="L45" s="108"/>
      <c r="M45" s="108"/>
      <c r="N45" s="108"/>
      <c r="O45" s="108"/>
      <c r="P45" s="419"/>
      <c r="Q45" s="412"/>
      <c r="R45" s="108">
        <v>9</v>
      </c>
      <c r="S45" s="108">
        <v>80</v>
      </c>
      <c r="T45" s="108">
        <v>0.47</v>
      </c>
      <c r="U45" s="412"/>
      <c r="V45" s="410"/>
      <c r="W45" s="412"/>
      <c r="X45" s="410"/>
      <c r="Y45" s="412"/>
    </row>
    <row r="46" spans="1:25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419"/>
      <c r="Q46" s="412"/>
      <c r="R46" s="108">
        <v>10</v>
      </c>
      <c r="S46" s="108">
        <v>90</v>
      </c>
      <c r="T46" s="108">
        <v>0.38</v>
      </c>
      <c r="U46" s="412"/>
      <c r="V46" s="410"/>
      <c r="W46" s="412"/>
      <c r="X46" s="410"/>
      <c r="Y46" s="412"/>
    </row>
    <row r="47" spans="1:25" ht="12.75">
      <c r="A47" s="108"/>
      <c r="B47" s="108" t="s">
        <v>85</v>
      </c>
      <c r="C47" s="174">
        <f>VLOOKUP(Data!C5,Data!A5:B45,2,FALSE)-0.5*((VLOOKUP(Data!G16,Data!H16:I27,2,FALSE)+(VLOOKUP(Data!J16,Data!K16:L27,2,FALSE))))</f>
        <v>2.8</v>
      </c>
      <c r="D47" s="108" t="s">
        <v>14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419"/>
      <c r="Q47" s="412"/>
      <c r="R47" s="108">
        <v>11</v>
      </c>
      <c r="S47" s="108">
        <v>100</v>
      </c>
      <c r="T47" s="108">
        <v>0.31</v>
      </c>
      <c r="U47" s="412"/>
      <c r="V47" s="410"/>
      <c r="W47" s="412"/>
      <c r="X47" s="410"/>
      <c r="Y47" s="412"/>
    </row>
    <row r="48" spans="1:25" ht="12.75">
      <c r="A48" s="108"/>
      <c r="B48" s="108" t="s">
        <v>86</v>
      </c>
      <c r="C48" s="108">
        <f>VLOOKUP(Data!F5,Data!D5:E45,2,FALSE)-0.5*((VLOOKUP(Data!M16,Data!N16:O27,2,FALSE))+(VLOOKUP(Data!P16,Data!Q16:R27,2,FALSE)))</f>
        <v>2.8</v>
      </c>
      <c r="D48" s="108" t="s">
        <v>14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419"/>
      <c r="Q48" s="412"/>
      <c r="R48" s="108">
        <v>12</v>
      </c>
      <c r="S48" s="108">
        <v>110</v>
      </c>
      <c r="T48" s="108">
        <v>0.25</v>
      </c>
      <c r="U48" s="412"/>
      <c r="V48" s="410"/>
      <c r="W48" s="412"/>
      <c r="X48" s="410"/>
      <c r="Y48" s="412"/>
    </row>
    <row r="49" spans="1:25" ht="12.75">
      <c r="A49" s="108"/>
      <c r="B49" s="108" t="s">
        <v>84</v>
      </c>
      <c r="C49" s="175">
        <f>C47*C48</f>
        <v>7.839999999999999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419"/>
      <c r="Q49" s="412"/>
      <c r="R49" s="108">
        <v>13</v>
      </c>
      <c r="S49" s="108">
        <v>120</v>
      </c>
      <c r="T49" s="108">
        <v>0.22</v>
      </c>
      <c r="U49" s="412"/>
      <c r="V49" s="410"/>
      <c r="W49" s="412"/>
      <c r="X49" s="410"/>
      <c r="Y49" s="412"/>
    </row>
    <row r="50" spans="1:25" ht="12.75">
      <c r="A50" s="108"/>
      <c r="B50" s="108"/>
      <c r="C50" s="175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419"/>
      <c r="Q50" s="412"/>
      <c r="R50" s="108">
        <v>14</v>
      </c>
      <c r="S50" s="108">
        <v>130</v>
      </c>
      <c r="T50" s="108">
        <v>0.18</v>
      </c>
      <c r="U50" s="412"/>
      <c r="V50" s="410"/>
      <c r="W50" s="412"/>
      <c r="X50" s="410"/>
      <c r="Y50" s="412"/>
    </row>
    <row r="51" spans="1:25" ht="12.75">
      <c r="A51" s="108"/>
      <c r="B51" s="108" t="s">
        <v>90</v>
      </c>
      <c r="C51" s="108"/>
      <c r="D51" s="108" t="s">
        <v>14</v>
      </c>
      <c r="E51" s="108" t="s">
        <v>89</v>
      </c>
      <c r="F51" s="108"/>
      <c r="G51" s="108" t="s">
        <v>14</v>
      </c>
      <c r="H51" s="108"/>
      <c r="I51" s="410" t="s">
        <v>94</v>
      </c>
      <c r="J51" s="410"/>
      <c r="K51" s="108"/>
      <c r="L51" s="108"/>
      <c r="M51" s="108"/>
      <c r="N51" s="108"/>
      <c r="O51" s="108"/>
      <c r="P51" s="419"/>
      <c r="Q51" s="412"/>
      <c r="R51" s="108">
        <v>15</v>
      </c>
      <c r="S51" s="108">
        <v>140</v>
      </c>
      <c r="T51" s="108">
        <v>0.16</v>
      </c>
      <c r="U51" s="412"/>
      <c r="V51" s="410"/>
      <c r="W51" s="412"/>
      <c r="X51" s="410"/>
      <c r="Y51" s="412"/>
    </row>
    <row r="52" spans="1:25" ht="12.75">
      <c r="A52" s="108" t="s">
        <v>191</v>
      </c>
      <c r="B52" s="410" t="s">
        <v>87</v>
      </c>
      <c r="C52" s="410"/>
      <c r="D52" s="410"/>
      <c r="E52" s="410" t="s">
        <v>88</v>
      </c>
      <c r="F52" s="410"/>
      <c r="G52" s="410"/>
      <c r="H52" s="108" t="s">
        <v>191</v>
      </c>
      <c r="I52" s="410">
        <v>12</v>
      </c>
      <c r="J52" s="157">
        <v>1</v>
      </c>
      <c r="K52" s="176">
        <v>2</v>
      </c>
      <c r="L52" s="108"/>
      <c r="M52" s="108"/>
      <c r="N52" s="108"/>
      <c r="O52" s="108"/>
      <c r="P52" s="419"/>
      <c r="Q52" s="412"/>
      <c r="R52" s="108">
        <v>16</v>
      </c>
      <c r="S52" s="108">
        <v>150</v>
      </c>
      <c r="T52" s="108">
        <v>0.14</v>
      </c>
      <c r="U52" s="412"/>
      <c r="V52" s="410"/>
      <c r="W52" s="412"/>
      <c r="X52" s="410"/>
      <c r="Y52" s="412"/>
    </row>
    <row r="53" spans="1:25" ht="12.75">
      <c r="A53" s="410">
        <v>3</v>
      </c>
      <c r="B53" s="410">
        <v>4</v>
      </c>
      <c r="C53" s="108">
        <v>1</v>
      </c>
      <c r="D53" s="108">
        <v>0.2</v>
      </c>
      <c r="E53" s="410">
        <v>1</v>
      </c>
      <c r="F53" s="108">
        <v>1</v>
      </c>
      <c r="G53" s="108">
        <v>0.018</v>
      </c>
      <c r="H53" s="410">
        <v>1</v>
      </c>
      <c r="I53" s="410"/>
      <c r="J53" s="157">
        <v>2</v>
      </c>
      <c r="K53" s="108">
        <v>2.2</v>
      </c>
      <c r="L53" s="108"/>
      <c r="M53" s="108"/>
      <c r="N53" s="108"/>
      <c r="O53" s="108"/>
      <c r="P53" s="419"/>
      <c r="Q53" s="412"/>
      <c r="R53" s="108">
        <v>17</v>
      </c>
      <c r="S53" s="108">
        <v>160</v>
      </c>
      <c r="T53" s="108">
        <v>0.12</v>
      </c>
      <c r="U53" s="412"/>
      <c r="V53" s="410"/>
      <c r="W53" s="412"/>
      <c r="X53" s="410"/>
      <c r="Y53" s="412"/>
    </row>
    <row r="54" spans="1:25" ht="12.75">
      <c r="A54" s="410"/>
      <c r="B54" s="410"/>
      <c r="C54" s="108">
        <v>2</v>
      </c>
      <c r="D54" s="108">
        <v>0.25</v>
      </c>
      <c r="E54" s="410"/>
      <c r="F54" s="108">
        <v>2</v>
      </c>
      <c r="G54" s="108">
        <v>0.02</v>
      </c>
      <c r="H54" s="410"/>
      <c r="I54" s="410"/>
      <c r="J54" s="157">
        <v>3</v>
      </c>
      <c r="K54" s="108">
        <v>2.3</v>
      </c>
      <c r="L54" s="108"/>
      <c r="M54" s="108"/>
      <c r="N54" s="108"/>
      <c r="O54" s="108"/>
      <c r="P54" s="419"/>
      <c r="Q54" s="412"/>
      <c r="R54" s="108">
        <v>18</v>
      </c>
      <c r="S54" s="108">
        <v>170</v>
      </c>
      <c r="T54" s="108">
        <v>0.11</v>
      </c>
      <c r="U54" s="412"/>
      <c r="V54" s="410"/>
      <c r="W54" s="412"/>
      <c r="X54" s="410"/>
      <c r="Y54" s="412"/>
    </row>
    <row r="55" spans="1:25" ht="12.75">
      <c r="A55" s="410"/>
      <c r="B55" s="410"/>
      <c r="C55" s="108">
        <v>3</v>
      </c>
      <c r="D55" s="108">
        <v>0.3</v>
      </c>
      <c r="E55" s="410"/>
      <c r="F55" s="108">
        <v>3</v>
      </c>
      <c r="G55" s="108">
        <v>0.025</v>
      </c>
      <c r="H55" s="410"/>
      <c r="I55" s="410"/>
      <c r="J55" s="157">
        <v>4</v>
      </c>
      <c r="K55" s="108">
        <v>2.4</v>
      </c>
      <c r="L55" s="108"/>
      <c r="M55" s="108"/>
      <c r="N55" s="108"/>
      <c r="O55" s="108"/>
      <c r="P55" s="419"/>
      <c r="Q55" s="412"/>
      <c r="R55" s="108">
        <v>19</v>
      </c>
      <c r="S55" s="108">
        <v>180</v>
      </c>
      <c r="T55" s="108">
        <v>0.1</v>
      </c>
      <c r="U55" s="412"/>
      <c r="V55" s="410"/>
      <c r="W55" s="412"/>
      <c r="X55" s="410"/>
      <c r="Y55" s="412"/>
    </row>
    <row r="56" spans="1:25" ht="12.75">
      <c r="A56" s="410"/>
      <c r="B56" s="410"/>
      <c r="C56" s="108">
        <v>4</v>
      </c>
      <c r="D56" s="108">
        <v>0.35</v>
      </c>
      <c r="E56" s="410"/>
      <c r="F56" s="108">
        <v>4</v>
      </c>
      <c r="G56" s="108">
        <v>0.03</v>
      </c>
      <c r="H56" s="410"/>
      <c r="I56" s="410"/>
      <c r="J56" s="157">
        <v>5</v>
      </c>
      <c r="K56" s="108">
        <v>2.5</v>
      </c>
      <c r="L56" s="108"/>
      <c r="M56" s="108"/>
      <c r="N56" s="108"/>
      <c r="O56" s="108"/>
      <c r="P56" s="419"/>
      <c r="Q56" s="412"/>
      <c r="R56" s="108">
        <v>20</v>
      </c>
      <c r="S56" s="108">
        <v>190</v>
      </c>
      <c r="T56" s="108">
        <v>0.09</v>
      </c>
      <c r="U56" s="412"/>
      <c r="V56" s="410"/>
      <c r="W56" s="412"/>
      <c r="X56" s="410"/>
      <c r="Y56" s="412"/>
    </row>
    <row r="57" spans="1:25" ht="12.75">
      <c r="A57" s="410"/>
      <c r="B57" s="410"/>
      <c r="C57" s="108">
        <v>5</v>
      </c>
      <c r="D57" s="108">
        <v>0.4</v>
      </c>
      <c r="E57" s="410"/>
      <c r="F57" s="108">
        <v>5</v>
      </c>
      <c r="G57" s="108">
        <v>0.035</v>
      </c>
      <c r="H57" s="410"/>
      <c r="I57" s="410"/>
      <c r="J57" s="157">
        <v>6</v>
      </c>
      <c r="K57" s="108">
        <v>2.6</v>
      </c>
      <c r="L57" s="108"/>
      <c r="M57" s="108"/>
      <c r="N57" s="108"/>
      <c r="O57" s="108"/>
      <c r="P57" s="419"/>
      <c r="Q57" s="413"/>
      <c r="R57" s="108">
        <v>21</v>
      </c>
      <c r="S57" s="108">
        <v>200</v>
      </c>
      <c r="T57" s="108">
        <v>0.08</v>
      </c>
      <c r="U57" s="413"/>
      <c r="V57" s="410"/>
      <c r="W57" s="413"/>
      <c r="X57" s="410"/>
      <c r="Y57" s="413"/>
    </row>
    <row r="58" spans="1:15" ht="12.75">
      <c r="A58" s="410"/>
      <c r="B58" s="410"/>
      <c r="C58" s="108">
        <v>6</v>
      </c>
      <c r="D58" s="108">
        <v>0.5</v>
      </c>
      <c r="E58" s="410"/>
      <c r="F58" s="108">
        <v>6</v>
      </c>
      <c r="G58" s="108">
        <v>0.04</v>
      </c>
      <c r="H58" s="410"/>
      <c r="I58" s="410"/>
      <c r="J58" s="157">
        <v>7</v>
      </c>
      <c r="K58" s="108">
        <v>2.7</v>
      </c>
      <c r="L58" s="108"/>
      <c r="M58" s="108"/>
      <c r="N58" s="108"/>
      <c r="O58" s="108"/>
    </row>
    <row r="59" spans="1:15" ht="12.75">
      <c r="A59" s="410"/>
      <c r="B59" s="410"/>
      <c r="C59" s="108">
        <v>7</v>
      </c>
      <c r="D59" s="108">
        <v>0.6</v>
      </c>
      <c r="E59" s="410"/>
      <c r="F59" s="108">
        <v>7</v>
      </c>
      <c r="G59" s="108">
        <v>0.05</v>
      </c>
      <c r="H59" s="410"/>
      <c r="I59" s="410"/>
      <c r="J59" s="157">
        <v>8</v>
      </c>
      <c r="K59" s="108">
        <v>2.8</v>
      </c>
      <c r="L59" s="108"/>
      <c r="M59" s="108"/>
      <c r="N59" s="108"/>
      <c r="O59" s="108"/>
    </row>
    <row r="60" spans="1:15" ht="12.75">
      <c r="A60" s="410"/>
      <c r="B60" s="410"/>
      <c r="C60" s="108">
        <v>8</v>
      </c>
      <c r="D60" s="108">
        <v>0.8</v>
      </c>
      <c r="E60" s="108"/>
      <c r="F60" s="157"/>
      <c r="G60" s="108"/>
      <c r="H60" s="108"/>
      <c r="I60" s="410"/>
      <c r="J60" s="157">
        <v>9</v>
      </c>
      <c r="K60" s="176">
        <v>2.9</v>
      </c>
      <c r="L60" s="108"/>
      <c r="M60" s="108"/>
      <c r="N60" s="108"/>
      <c r="O60" s="108"/>
    </row>
    <row r="61" spans="1:15" ht="12.75">
      <c r="A61" s="410"/>
      <c r="B61" s="410"/>
      <c r="C61" s="108">
        <v>9</v>
      </c>
      <c r="D61" s="108">
        <v>1</v>
      </c>
      <c r="E61" s="108"/>
      <c r="F61" s="157"/>
      <c r="G61" s="108"/>
      <c r="H61" s="108"/>
      <c r="I61" s="410"/>
      <c r="J61" s="157">
        <v>10</v>
      </c>
      <c r="K61" s="176">
        <v>3</v>
      </c>
      <c r="L61" s="108"/>
      <c r="M61" s="108"/>
      <c r="N61" s="108"/>
      <c r="O61" s="108"/>
    </row>
    <row r="62" spans="1:15" ht="12.75">
      <c r="A62" s="108" t="s">
        <v>191</v>
      </c>
      <c r="B62" s="108" t="s">
        <v>91</v>
      </c>
      <c r="C62" s="108"/>
      <c r="D62" s="108" t="s">
        <v>14</v>
      </c>
      <c r="E62" s="108"/>
      <c r="F62" s="108"/>
      <c r="G62" s="108"/>
      <c r="H62" s="108" t="s">
        <v>191</v>
      </c>
      <c r="I62" s="410"/>
      <c r="J62" s="157">
        <v>11</v>
      </c>
      <c r="K62" s="108">
        <v>3.1</v>
      </c>
      <c r="L62" s="108"/>
      <c r="M62" s="108"/>
      <c r="N62" s="108"/>
      <c r="O62" s="108"/>
    </row>
    <row r="63" spans="1:15" ht="12.75">
      <c r="A63" s="410">
        <v>3</v>
      </c>
      <c r="B63" s="410">
        <v>1</v>
      </c>
      <c r="C63" s="108">
        <v>1</v>
      </c>
      <c r="D63" s="108">
        <v>0.04</v>
      </c>
      <c r="E63" s="410">
        <v>5</v>
      </c>
      <c r="F63" s="108">
        <v>1</v>
      </c>
      <c r="G63" s="108">
        <v>0.04</v>
      </c>
      <c r="H63" s="410">
        <v>3</v>
      </c>
      <c r="I63" s="410"/>
      <c r="J63" s="157">
        <v>12</v>
      </c>
      <c r="K63" s="108">
        <v>3.2</v>
      </c>
      <c r="L63" s="108"/>
      <c r="M63" s="108"/>
      <c r="N63" s="108"/>
      <c r="O63" s="108"/>
    </row>
    <row r="64" spans="1:15" ht="12.75">
      <c r="A64" s="410"/>
      <c r="B64" s="410"/>
      <c r="C64" s="108">
        <v>2</v>
      </c>
      <c r="D64" s="108">
        <v>0.05</v>
      </c>
      <c r="E64" s="410"/>
      <c r="F64" s="108">
        <v>2</v>
      </c>
      <c r="G64" s="108">
        <v>0.05</v>
      </c>
      <c r="H64" s="410"/>
      <c r="I64" s="410"/>
      <c r="J64" s="157">
        <v>13</v>
      </c>
      <c r="K64" s="108">
        <v>3.3</v>
      </c>
      <c r="L64" s="108"/>
      <c r="M64" s="108"/>
      <c r="N64" s="108"/>
      <c r="O64" s="108"/>
    </row>
    <row r="65" spans="1:15" ht="12.75">
      <c r="A65" s="410"/>
      <c r="B65" s="410"/>
      <c r="C65" s="108">
        <v>3</v>
      </c>
      <c r="D65" s="108">
        <v>0.06</v>
      </c>
      <c r="E65" s="410"/>
      <c r="F65" s="108">
        <v>3</v>
      </c>
      <c r="G65" s="108">
        <v>0.06</v>
      </c>
      <c r="H65" s="410"/>
      <c r="I65" s="410"/>
      <c r="J65" s="157">
        <v>14</v>
      </c>
      <c r="K65" s="108">
        <v>3.4</v>
      </c>
      <c r="L65" s="108"/>
      <c r="M65" s="108"/>
      <c r="N65" s="108"/>
      <c r="O65" s="108"/>
    </row>
    <row r="66" spans="1:15" ht="12.75">
      <c r="A66" s="410"/>
      <c r="B66" s="410"/>
      <c r="C66" s="108">
        <v>4</v>
      </c>
      <c r="D66" s="108">
        <v>0.07</v>
      </c>
      <c r="E66" s="410"/>
      <c r="F66" s="108">
        <v>4</v>
      </c>
      <c r="G66" s="108">
        <v>0.07</v>
      </c>
      <c r="H66" s="410"/>
      <c r="I66" s="410"/>
      <c r="J66" s="157">
        <v>15</v>
      </c>
      <c r="K66" s="108">
        <v>3.5</v>
      </c>
      <c r="L66" s="108"/>
      <c r="M66" s="108"/>
      <c r="N66" s="108"/>
      <c r="O66" s="108"/>
    </row>
    <row r="67" spans="1:15" ht="12.75">
      <c r="A67" s="410"/>
      <c r="B67" s="410"/>
      <c r="C67" s="108">
        <v>5</v>
      </c>
      <c r="D67" s="108">
        <v>0.1</v>
      </c>
      <c r="E67" s="410"/>
      <c r="F67" s="108">
        <v>5</v>
      </c>
      <c r="G67" s="108">
        <v>0.08</v>
      </c>
      <c r="H67" s="410"/>
      <c r="I67" s="410"/>
      <c r="J67" s="157">
        <v>16</v>
      </c>
      <c r="K67" s="108">
        <v>3.6</v>
      </c>
      <c r="L67" s="108"/>
      <c r="M67" s="108"/>
      <c r="N67" s="108"/>
      <c r="O67" s="108"/>
    </row>
    <row r="68" spans="1:15" ht="12.75">
      <c r="A68" s="108"/>
      <c r="B68" s="157"/>
      <c r="C68" s="108"/>
      <c r="D68" s="108"/>
      <c r="E68" s="410"/>
      <c r="F68" s="108">
        <v>6</v>
      </c>
      <c r="G68" s="108">
        <v>0.1</v>
      </c>
      <c r="H68" s="410"/>
      <c r="I68" s="410"/>
      <c r="J68" s="157">
        <v>17</v>
      </c>
      <c r="K68" s="108">
        <v>3.7</v>
      </c>
      <c r="L68" s="108"/>
      <c r="M68" s="108"/>
      <c r="N68" s="108"/>
      <c r="O68" s="108"/>
    </row>
    <row r="69" spans="1:15" ht="12.75">
      <c r="A69" s="108"/>
      <c r="B69" s="157"/>
      <c r="C69" s="108"/>
      <c r="D69" s="108"/>
      <c r="E69" s="410"/>
      <c r="F69" s="108">
        <v>7</v>
      </c>
      <c r="G69" s="108">
        <v>0.12</v>
      </c>
      <c r="H69" s="410"/>
      <c r="I69" s="410"/>
      <c r="J69" s="157">
        <v>18</v>
      </c>
      <c r="K69" s="108">
        <v>3.8</v>
      </c>
      <c r="L69" s="108"/>
      <c r="M69" s="108"/>
      <c r="N69" s="108"/>
      <c r="O69" s="108"/>
    </row>
    <row r="70" spans="1:15" ht="12.75">
      <c r="A70" s="108"/>
      <c r="B70" s="157"/>
      <c r="C70" s="108"/>
      <c r="D70" s="108"/>
      <c r="E70" s="410"/>
      <c r="F70" s="108">
        <v>8</v>
      </c>
      <c r="G70" s="108">
        <v>0.14</v>
      </c>
      <c r="H70" s="410"/>
      <c r="I70" s="410"/>
      <c r="J70" s="157">
        <v>19</v>
      </c>
      <c r="K70" s="108">
        <v>3.9</v>
      </c>
      <c r="L70" s="108"/>
      <c r="M70" s="108"/>
      <c r="N70" s="108"/>
      <c r="O70" s="108"/>
    </row>
    <row r="71" spans="1:15" ht="12.75">
      <c r="A71" s="108"/>
      <c r="B71" s="157"/>
      <c r="C71" s="108"/>
      <c r="D71" s="108"/>
      <c r="E71" s="410"/>
      <c r="F71" s="108">
        <v>9</v>
      </c>
      <c r="G71" s="108">
        <v>0.2</v>
      </c>
      <c r="H71" s="410"/>
      <c r="I71" s="410"/>
      <c r="J71" s="157">
        <v>20</v>
      </c>
      <c r="K71" s="108">
        <v>4</v>
      </c>
      <c r="L71" s="108"/>
      <c r="M71" s="108"/>
      <c r="N71" s="108"/>
      <c r="O71" s="108"/>
    </row>
    <row r="72" spans="1:15" ht="12.75">
      <c r="A72" s="108"/>
      <c r="B72" s="108"/>
      <c r="C72" s="108"/>
      <c r="D72" s="108"/>
      <c r="E72" s="108"/>
      <c r="F72" s="108"/>
      <c r="G72" s="108"/>
      <c r="H72" s="108"/>
      <c r="I72" s="108" t="s">
        <v>28</v>
      </c>
      <c r="J72" s="108">
        <f>VLOOKUP(I52,J52:K71,2,FALSE)*0.7</f>
        <v>2.2399999999999998</v>
      </c>
      <c r="K72" s="108" t="s">
        <v>14</v>
      </c>
      <c r="L72" s="108"/>
      <c r="M72" s="108"/>
      <c r="N72" s="108"/>
      <c r="O72" s="108"/>
    </row>
    <row r="73" spans="1:15" ht="12.75">
      <c r="A73" s="108"/>
      <c r="B73" s="108" t="s">
        <v>92</v>
      </c>
      <c r="C73" s="108"/>
      <c r="D73" s="157" t="s">
        <v>14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1:15" ht="12.75">
      <c r="A74" s="108"/>
      <c r="B74" s="410">
        <v>2</v>
      </c>
      <c r="C74" s="108">
        <v>1</v>
      </c>
      <c r="D74" s="108">
        <v>0.05</v>
      </c>
      <c r="E74" s="410">
        <v>5</v>
      </c>
      <c r="F74" s="108">
        <v>1</v>
      </c>
      <c r="G74" s="108">
        <v>0.05</v>
      </c>
      <c r="H74" s="108"/>
      <c r="I74" s="108" t="s">
        <v>95</v>
      </c>
      <c r="J74" s="108"/>
      <c r="K74" s="108"/>
      <c r="L74" s="108"/>
      <c r="M74" s="108" t="s">
        <v>198</v>
      </c>
      <c r="N74" s="108" t="s">
        <v>257</v>
      </c>
      <c r="O74" s="108"/>
    </row>
    <row r="75" spans="1:15" ht="12.75">
      <c r="A75" s="108"/>
      <c r="B75" s="410"/>
      <c r="C75" s="108">
        <v>2</v>
      </c>
      <c r="D75" s="108">
        <v>0.06</v>
      </c>
      <c r="E75" s="410"/>
      <c r="F75" s="108">
        <v>2</v>
      </c>
      <c r="G75" s="108">
        <v>0.06</v>
      </c>
      <c r="H75" s="410">
        <v>5</v>
      </c>
      <c r="I75" s="410">
        <v>5</v>
      </c>
      <c r="J75" s="108">
        <v>1</v>
      </c>
      <c r="K75" s="108">
        <v>67</v>
      </c>
      <c r="L75" s="108" t="s">
        <v>11</v>
      </c>
      <c r="M75" s="410">
        <v>5</v>
      </c>
      <c r="N75" s="410">
        <v>5</v>
      </c>
      <c r="O75" s="108"/>
    </row>
    <row r="76" spans="1:15" ht="12.75">
      <c r="A76" s="108"/>
      <c r="B76" s="410"/>
      <c r="C76" s="108">
        <v>3</v>
      </c>
      <c r="D76" s="108">
        <v>0.07</v>
      </c>
      <c r="E76" s="410"/>
      <c r="F76" s="108">
        <v>3</v>
      </c>
      <c r="G76" s="108">
        <v>0.07</v>
      </c>
      <c r="H76" s="410"/>
      <c r="I76" s="410"/>
      <c r="J76" s="108">
        <v>2</v>
      </c>
      <c r="K76" s="108">
        <v>70</v>
      </c>
      <c r="L76" s="108" t="s">
        <v>11</v>
      </c>
      <c r="M76" s="410"/>
      <c r="N76" s="410"/>
      <c r="O76" s="108"/>
    </row>
    <row r="77" spans="1:15" ht="12.75">
      <c r="A77" s="108"/>
      <c r="B77" s="410"/>
      <c r="C77" s="108">
        <v>4</v>
      </c>
      <c r="D77" s="108">
        <v>0.1</v>
      </c>
      <c r="E77" s="410"/>
      <c r="F77" s="108">
        <v>4</v>
      </c>
      <c r="G77" s="108">
        <v>0.1</v>
      </c>
      <c r="H77" s="410"/>
      <c r="I77" s="410"/>
      <c r="J77" s="108">
        <v>3</v>
      </c>
      <c r="K77" s="108">
        <v>80</v>
      </c>
      <c r="L77" s="108" t="s">
        <v>11</v>
      </c>
      <c r="M77" s="410"/>
      <c r="N77" s="410"/>
      <c r="O77" s="108"/>
    </row>
    <row r="78" spans="1:15" ht="12.75">
      <c r="A78" s="108"/>
      <c r="B78" s="410"/>
      <c r="C78" s="108">
        <v>5</v>
      </c>
      <c r="D78" s="108">
        <v>0.2</v>
      </c>
      <c r="E78" s="410"/>
      <c r="F78" s="108">
        <v>5</v>
      </c>
      <c r="G78" s="108">
        <v>0.12</v>
      </c>
      <c r="H78" s="410"/>
      <c r="I78" s="410"/>
      <c r="J78" s="108">
        <v>4</v>
      </c>
      <c r="K78" s="108">
        <v>90</v>
      </c>
      <c r="L78" s="108" t="s">
        <v>11</v>
      </c>
      <c r="M78" s="410"/>
      <c r="N78" s="410"/>
      <c r="O78" s="108"/>
    </row>
    <row r="79" spans="1:15" ht="12.75">
      <c r="A79" s="108"/>
      <c r="B79" s="108"/>
      <c r="C79" s="108"/>
      <c r="D79" s="108"/>
      <c r="E79" s="410"/>
      <c r="F79" s="108">
        <v>6</v>
      </c>
      <c r="G79" s="108">
        <v>0.14</v>
      </c>
      <c r="H79" s="410"/>
      <c r="I79" s="410"/>
      <c r="J79" s="108">
        <v>5</v>
      </c>
      <c r="K79" s="108">
        <v>98</v>
      </c>
      <c r="L79" s="108" t="s">
        <v>11</v>
      </c>
      <c r="M79" s="410"/>
      <c r="N79" s="410"/>
      <c r="O79" s="108"/>
    </row>
    <row r="80" spans="1:15" ht="12.75">
      <c r="A80" s="108"/>
      <c r="B80" s="108"/>
      <c r="C80" s="108"/>
      <c r="D80" s="108"/>
      <c r="E80" s="410"/>
      <c r="F80" s="108">
        <v>7</v>
      </c>
      <c r="G80" s="108">
        <v>0.2</v>
      </c>
      <c r="H80" s="410"/>
      <c r="I80" s="410"/>
      <c r="J80" s="108">
        <v>6</v>
      </c>
      <c r="K80" s="108">
        <v>100</v>
      </c>
      <c r="L80" s="108" t="s">
        <v>11</v>
      </c>
      <c r="M80" s="410"/>
      <c r="N80" s="410"/>
      <c r="O80" s="108"/>
    </row>
    <row r="81" spans="1:15" ht="12.75">
      <c r="A81" s="108"/>
      <c r="B81" s="108"/>
      <c r="C81" s="108"/>
      <c r="D81" s="108"/>
      <c r="E81" s="410"/>
      <c r="F81" s="108">
        <v>8</v>
      </c>
      <c r="G81" s="108">
        <v>0.02</v>
      </c>
      <c r="H81" s="108"/>
      <c r="I81" s="108"/>
      <c r="J81" s="108"/>
      <c r="K81" s="108"/>
      <c r="L81" s="108"/>
      <c r="M81" s="108"/>
      <c r="N81" s="108"/>
      <c r="O81" s="108"/>
    </row>
    <row r="82" spans="1:15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1:15" ht="12.75">
      <c r="A83" s="108"/>
      <c r="B83" s="108" t="s">
        <v>93</v>
      </c>
      <c r="C83" s="108"/>
      <c r="D83" s="108" t="s">
        <v>14</v>
      </c>
      <c r="E83" s="108"/>
      <c r="F83" s="108" t="s">
        <v>98</v>
      </c>
      <c r="G83" s="108"/>
      <c r="H83" s="108"/>
      <c r="I83" s="108"/>
      <c r="J83" s="108" t="s">
        <v>105</v>
      </c>
      <c r="K83" s="108"/>
      <c r="L83" s="108"/>
      <c r="M83" s="108" t="s">
        <v>336</v>
      </c>
      <c r="N83" s="108"/>
      <c r="O83" s="108"/>
    </row>
    <row r="84" spans="1:15" ht="15.75">
      <c r="A84" s="108" t="s">
        <v>226</v>
      </c>
      <c r="B84" s="421" t="s">
        <v>59</v>
      </c>
      <c r="C84" s="421"/>
      <c r="D84" s="421"/>
      <c r="E84" s="108"/>
      <c r="F84" s="410">
        <v>8</v>
      </c>
      <c r="G84" s="108">
        <v>1</v>
      </c>
      <c r="H84" s="108">
        <v>0.1</v>
      </c>
      <c r="I84" s="108"/>
      <c r="J84" s="410">
        <v>1</v>
      </c>
      <c r="K84" s="108">
        <v>1</v>
      </c>
      <c r="L84" s="108">
        <v>0.6</v>
      </c>
      <c r="M84" s="411">
        <v>1</v>
      </c>
      <c r="N84" s="108"/>
      <c r="O84" s="108"/>
    </row>
    <row r="85" spans="1:15" ht="12.75">
      <c r="A85" s="410">
        <v>1</v>
      </c>
      <c r="B85" s="410">
        <v>1</v>
      </c>
      <c r="C85" s="108">
        <v>1</v>
      </c>
      <c r="D85" s="108">
        <v>0.08</v>
      </c>
      <c r="E85" s="108"/>
      <c r="F85" s="410"/>
      <c r="G85" s="108">
        <v>2</v>
      </c>
      <c r="H85" s="108">
        <v>0.2</v>
      </c>
      <c r="I85" s="108"/>
      <c r="J85" s="410"/>
      <c r="K85" s="108">
        <v>2</v>
      </c>
      <c r="L85" s="108">
        <v>0.7</v>
      </c>
      <c r="M85" s="412"/>
      <c r="N85" s="108"/>
      <c r="O85" s="108"/>
    </row>
    <row r="86" spans="1:15" ht="12.75">
      <c r="A86" s="410"/>
      <c r="B86" s="410"/>
      <c r="C86" s="108">
        <v>2</v>
      </c>
      <c r="D86" s="108">
        <v>0.1</v>
      </c>
      <c r="E86" s="108"/>
      <c r="F86" s="410"/>
      <c r="G86" s="108">
        <v>3</v>
      </c>
      <c r="H86" s="108">
        <v>0.25</v>
      </c>
      <c r="I86" s="108"/>
      <c r="J86" s="410"/>
      <c r="K86" s="108">
        <v>3</v>
      </c>
      <c r="L86" s="108">
        <v>0.75</v>
      </c>
      <c r="M86" s="412"/>
      <c r="N86" s="108"/>
      <c r="O86" s="108"/>
    </row>
    <row r="87" spans="1:15" ht="12.75">
      <c r="A87" s="410"/>
      <c r="B87" s="410"/>
      <c r="C87" s="108">
        <v>3</v>
      </c>
      <c r="D87" s="108">
        <v>0.12</v>
      </c>
      <c r="E87" s="108"/>
      <c r="F87" s="410"/>
      <c r="G87" s="108">
        <v>4</v>
      </c>
      <c r="H87" s="108">
        <v>0.3</v>
      </c>
      <c r="I87" s="108"/>
      <c r="J87" s="410"/>
      <c r="K87" s="108">
        <v>4</v>
      </c>
      <c r="L87" s="108">
        <v>0.8</v>
      </c>
      <c r="M87" s="412"/>
      <c r="N87" s="108"/>
      <c r="O87" s="108"/>
    </row>
    <row r="88" spans="1:15" ht="12.75">
      <c r="A88" s="410"/>
      <c r="B88" s="410"/>
      <c r="C88" s="108">
        <v>4</v>
      </c>
      <c r="D88" s="108">
        <v>0.14</v>
      </c>
      <c r="E88" s="108"/>
      <c r="F88" s="410"/>
      <c r="G88" s="108">
        <v>5</v>
      </c>
      <c r="H88" s="108">
        <v>0.35</v>
      </c>
      <c r="I88" s="108"/>
      <c r="J88" s="410"/>
      <c r="K88" s="108">
        <v>5</v>
      </c>
      <c r="L88" s="108">
        <v>0.85</v>
      </c>
      <c r="M88" s="412"/>
      <c r="N88" s="108"/>
      <c r="O88" s="108"/>
    </row>
    <row r="89" spans="1:15" ht="12.75">
      <c r="A89" s="410"/>
      <c r="B89" s="410"/>
      <c r="C89" s="108">
        <v>5</v>
      </c>
      <c r="D89" s="108">
        <v>0.16</v>
      </c>
      <c r="E89" s="108"/>
      <c r="F89" s="410"/>
      <c r="G89" s="108">
        <v>6</v>
      </c>
      <c r="H89" s="108">
        <v>0.4</v>
      </c>
      <c r="I89" s="108"/>
      <c r="J89" s="410"/>
      <c r="K89" s="108">
        <v>6</v>
      </c>
      <c r="L89" s="108">
        <v>0.9</v>
      </c>
      <c r="M89" s="412"/>
      <c r="N89" s="108"/>
      <c r="O89" s="108"/>
    </row>
    <row r="90" spans="1:15" ht="12.75">
      <c r="A90" s="108"/>
      <c r="B90" s="108"/>
      <c r="C90" s="108"/>
      <c r="D90" s="108"/>
      <c r="E90" s="108"/>
      <c r="F90" s="410"/>
      <c r="G90" s="108">
        <v>7</v>
      </c>
      <c r="H90" s="108">
        <v>0.45</v>
      </c>
      <c r="I90" s="108"/>
      <c r="J90" s="410"/>
      <c r="K90" s="108">
        <v>7</v>
      </c>
      <c r="L90" s="108">
        <v>1</v>
      </c>
      <c r="M90" s="412"/>
      <c r="N90" s="108"/>
      <c r="O90" s="108"/>
    </row>
    <row r="91" spans="1:15" ht="12.75">
      <c r="A91" s="108"/>
      <c r="B91" s="108"/>
      <c r="C91" s="108"/>
      <c r="D91" s="108"/>
      <c r="E91" s="108"/>
      <c r="F91" s="410"/>
      <c r="G91" s="108">
        <v>8</v>
      </c>
      <c r="H91" s="108">
        <v>0.5</v>
      </c>
      <c r="I91" s="108"/>
      <c r="J91" s="410"/>
      <c r="K91" s="108">
        <v>8</v>
      </c>
      <c r="L91" s="108">
        <v>1.1</v>
      </c>
      <c r="M91" s="412"/>
      <c r="N91" s="108"/>
      <c r="O91" s="108"/>
    </row>
    <row r="92" spans="1:15" ht="12.75">
      <c r="A92" s="108"/>
      <c r="B92" s="108"/>
      <c r="C92" s="108"/>
      <c r="D92" s="108"/>
      <c r="E92" s="108"/>
      <c r="F92" s="410"/>
      <c r="G92" s="108">
        <v>9</v>
      </c>
      <c r="H92" s="108">
        <v>0.55</v>
      </c>
      <c r="I92" s="108"/>
      <c r="J92" s="410"/>
      <c r="K92" s="108">
        <v>9</v>
      </c>
      <c r="L92" s="108">
        <v>1.2</v>
      </c>
      <c r="M92" s="412"/>
      <c r="N92" s="108"/>
      <c r="O92" s="108"/>
    </row>
    <row r="93" spans="1:15" ht="12.75">
      <c r="A93" s="108"/>
      <c r="B93" s="108"/>
      <c r="C93" s="108"/>
      <c r="D93" s="108"/>
      <c r="E93" s="108"/>
      <c r="F93" s="410"/>
      <c r="G93" s="108">
        <v>10</v>
      </c>
      <c r="H93" s="108">
        <v>0.6</v>
      </c>
      <c r="I93" s="108"/>
      <c r="J93" s="410"/>
      <c r="K93" s="108">
        <v>10</v>
      </c>
      <c r="L93" s="108">
        <v>1.25</v>
      </c>
      <c r="M93" s="412"/>
      <c r="N93" s="108"/>
      <c r="O93" s="108"/>
    </row>
    <row r="94" spans="1:15" ht="12.75">
      <c r="A94" s="108"/>
      <c r="B94" s="108"/>
      <c r="C94" s="108"/>
      <c r="D94" s="108"/>
      <c r="E94" s="108"/>
      <c r="F94" s="410"/>
      <c r="G94" s="108">
        <v>11</v>
      </c>
      <c r="H94" s="108">
        <v>0.7</v>
      </c>
      <c r="I94" s="108"/>
      <c r="J94" s="410"/>
      <c r="K94" s="108">
        <v>11</v>
      </c>
      <c r="L94" s="108">
        <v>1.3</v>
      </c>
      <c r="M94" s="412"/>
      <c r="N94" s="108"/>
      <c r="O94" s="108"/>
    </row>
    <row r="95" spans="1:15" ht="12.75">
      <c r="A95" s="108"/>
      <c r="B95" s="108"/>
      <c r="C95" s="108"/>
      <c r="D95" s="108"/>
      <c r="E95" s="108"/>
      <c r="F95" s="410"/>
      <c r="G95" s="108">
        <v>12</v>
      </c>
      <c r="H95" s="108">
        <v>0.75</v>
      </c>
      <c r="I95" s="108"/>
      <c r="J95" s="410"/>
      <c r="K95" s="108">
        <v>12</v>
      </c>
      <c r="L95" s="108">
        <v>1.35</v>
      </c>
      <c r="M95" s="412"/>
      <c r="N95" s="108"/>
      <c r="O95" s="108"/>
    </row>
    <row r="96" spans="1:15" ht="12.75">
      <c r="A96" s="108"/>
      <c r="B96" s="108"/>
      <c r="C96" s="108"/>
      <c r="D96" s="108"/>
      <c r="E96" s="108"/>
      <c r="F96" s="410"/>
      <c r="G96" s="108">
        <v>13</v>
      </c>
      <c r="H96" s="108">
        <v>0.8</v>
      </c>
      <c r="I96" s="108"/>
      <c r="J96" s="410"/>
      <c r="K96" s="108">
        <v>13</v>
      </c>
      <c r="L96" s="108">
        <v>1.4</v>
      </c>
      <c r="M96" s="413"/>
      <c r="N96" s="108"/>
      <c r="O96" s="108"/>
    </row>
    <row r="97" spans="1:15" ht="12.75">
      <c r="A97" s="108"/>
      <c r="B97" s="108"/>
      <c r="C97" s="108"/>
      <c r="D97" s="108" t="s">
        <v>100</v>
      </c>
      <c r="E97" s="108"/>
      <c r="F97" s="108" t="s">
        <v>145</v>
      </c>
      <c r="G97" s="108"/>
      <c r="H97" s="108" t="s">
        <v>102</v>
      </c>
      <c r="I97" s="108"/>
      <c r="J97" s="108"/>
      <c r="K97" s="108"/>
      <c r="L97" s="108"/>
      <c r="M97" s="108"/>
      <c r="N97" s="108"/>
      <c r="O97" s="108"/>
    </row>
    <row r="98" spans="1:15" ht="12.7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</row>
    <row r="99" spans="1:15" ht="12.75">
      <c r="A99" s="108"/>
      <c r="B99" s="108"/>
      <c r="C99" s="410">
        <v>15</v>
      </c>
      <c r="D99" s="410">
        <v>15</v>
      </c>
      <c r="E99" s="108">
        <v>1</v>
      </c>
      <c r="F99" s="108">
        <v>330</v>
      </c>
      <c r="G99" s="108"/>
      <c r="H99" s="410">
        <v>13</v>
      </c>
      <c r="I99" s="108">
        <v>1</v>
      </c>
      <c r="J99" s="108">
        <v>0.6</v>
      </c>
      <c r="K99" s="108"/>
      <c r="L99" s="108"/>
      <c r="M99" s="108"/>
      <c r="N99" s="108"/>
      <c r="O99" s="108"/>
    </row>
    <row r="100" spans="1:15" ht="12.75">
      <c r="A100" s="108"/>
      <c r="B100" s="108"/>
      <c r="C100" s="410"/>
      <c r="D100" s="410"/>
      <c r="E100" s="108">
        <v>2</v>
      </c>
      <c r="F100" s="108">
        <v>340</v>
      </c>
      <c r="G100" s="108"/>
      <c r="H100" s="410"/>
      <c r="I100" s="108">
        <v>2</v>
      </c>
      <c r="J100" s="108">
        <v>0.7</v>
      </c>
      <c r="K100" s="108"/>
      <c r="L100" s="108"/>
      <c r="M100" s="108"/>
      <c r="N100" s="108"/>
      <c r="O100" s="108"/>
    </row>
    <row r="101" spans="1:15" ht="12.75">
      <c r="A101" s="108"/>
      <c r="B101" s="108"/>
      <c r="C101" s="410"/>
      <c r="D101" s="410"/>
      <c r="E101" s="108">
        <v>3</v>
      </c>
      <c r="F101" s="108">
        <v>350</v>
      </c>
      <c r="G101" s="108"/>
      <c r="H101" s="410"/>
      <c r="I101" s="108">
        <v>3</v>
      </c>
      <c r="J101" s="108">
        <v>0.75</v>
      </c>
      <c r="K101" s="108"/>
      <c r="L101" s="108"/>
      <c r="M101" s="108"/>
      <c r="N101" s="108"/>
      <c r="O101" s="108"/>
    </row>
    <row r="102" spans="1:15" ht="12.75">
      <c r="A102" s="108"/>
      <c r="B102" s="108"/>
      <c r="C102" s="410"/>
      <c r="D102" s="410"/>
      <c r="E102" s="108">
        <v>4</v>
      </c>
      <c r="F102" s="108">
        <v>360</v>
      </c>
      <c r="G102" s="108"/>
      <c r="H102" s="410"/>
      <c r="I102" s="108">
        <v>4</v>
      </c>
      <c r="J102" s="108">
        <v>0.8</v>
      </c>
      <c r="K102" s="108"/>
      <c r="L102" s="108"/>
      <c r="M102" s="108"/>
      <c r="N102" s="108"/>
      <c r="O102" s="108"/>
    </row>
    <row r="103" spans="1:15" ht="12.75">
      <c r="A103" s="108"/>
      <c r="B103" s="108"/>
      <c r="C103" s="410"/>
      <c r="D103" s="410"/>
      <c r="E103" s="108">
        <v>5</v>
      </c>
      <c r="F103" s="108">
        <v>370</v>
      </c>
      <c r="G103" s="108"/>
      <c r="H103" s="410"/>
      <c r="I103" s="108">
        <v>5</v>
      </c>
      <c r="J103" s="108">
        <v>0.85</v>
      </c>
      <c r="K103" s="108"/>
      <c r="L103" s="108"/>
      <c r="M103" s="108"/>
      <c r="N103" s="108"/>
      <c r="O103" s="108"/>
    </row>
    <row r="104" spans="1:15" ht="12.75">
      <c r="A104" s="108"/>
      <c r="B104" s="108"/>
      <c r="C104" s="410"/>
      <c r="D104" s="410"/>
      <c r="E104" s="108">
        <v>6</v>
      </c>
      <c r="F104" s="108">
        <v>380</v>
      </c>
      <c r="G104" s="108"/>
      <c r="H104" s="410"/>
      <c r="I104" s="108">
        <v>6</v>
      </c>
      <c r="J104" s="108">
        <v>0.9</v>
      </c>
      <c r="K104" s="108"/>
      <c r="L104" s="108"/>
      <c r="M104" s="108"/>
      <c r="N104" s="108"/>
      <c r="O104" s="108"/>
    </row>
    <row r="105" spans="1:15" ht="12.75">
      <c r="A105" s="108"/>
      <c r="B105" s="108"/>
      <c r="C105" s="410"/>
      <c r="D105" s="410"/>
      <c r="E105" s="108">
        <v>7</v>
      </c>
      <c r="F105" s="108">
        <v>390</v>
      </c>
      <c r="G105" s="108"/>
      <c r="H105" s="410"/>
      <c r="I105" s="108">
        <v>7</v>
      </c>
      <c r="J105" s="108">
        <v>1</v>
      </c>
      <c r="K105" s="108"/>
      <c r="L105" s="108"/>
      <c r="M105" s="108"/>
      <c r="N105" s="108"/>
      <c r="O105" s="108"/>
    </row>
    <row r="106" spans="1:15" ht="12.75">
      <c r="A106" s="108"/>
      <c r="B106" s="108"/>
      <c r="C106" s="410"/>
      <c r="D106" s="410"/>
      <c r="E106" s="108">
        <v>8</v>
      </c>
      <c r="F106" s="108">
        <v>400</v>
      </c>
      <c r="G106" s="108"/>
      <c r="H106" s="410"/>
      <c r="I106" s="108">
        <v>8</v>
      </c>
      <c r="J106" s="108">
        <v>1.1</v>
      </c>
      <c r="K106" s="108"/>
      <c r="L106" s="108"/>
      <c r="M106" s="108"/>
      <c r="N106" s="108"/>
      <c r="O106" s="108"/>
    </row>
    <row r="107" spans="1:15" ht="12.75">
      <c r="A107" s="108"/>
      <c r="B107" s="108"/>
      <c r="C107" s="410"/>
      <c r="D107" s="410"/>
      <c r="E107" s="108">
        <v>9</v>
      </c>
      <c r="F107" s="108">
        <v>450</v>
      </c>
      <c r="G107" s="108"/>
      <c r="H107" s="410"/>
      <c r="I107" s="108">
        <v>9</v>
      </c>
      <c r="J107" s="108">
        <v>1.2</v>
      </c>
      <c r="K107" s="108"/>
      <c r="L107" s="108"/>
      <c r="M107" s="108"/>
      <c r="N107" s="108"/>
      <c r="O107" s="108"/>
    </row>
    <row r="108" spans="1:15" ht="12.75">
      <c r="A108" s="108"/>
      <c r="B108" s="108"/>
      <c r="C108" s="410"/>
      <c r="D108" s="410"/>
      <c r="E108" s="108">
        <v>10</v>
      </c>
      <c r="F108" s="108">
        <v>500</v>
      </c>
      <c r="G108" s="108"/>
      <c r="H108" s="410"/>
      <c r="I108" s="108">
        <v>10</v>
      </c>
      <c r="J108" s="108">
        <v>1.25</v>
      </c>
      <c r="K108" s="108"/>
      <c r="L108" s="108"/>
      <c r="M108" s="108"/>
      <c r="N108" s="108"/>
      <c r="O108" s="108"/>
    </row>
    <row r="109" spans="1:15" ht="12.75">
      <c r="A109" s="108"/>
      <c r="B109" s="108"/>
      <c r="C109" s="410"/>
      <c r="D109" s="410"/>
      <c r="E109" s="108">
        <v>11</v>
      </c>
      <c r="F109" s="108">
        <v>550</v>
      </c>
      <c r="G109" s="108"/>
      <c r="H109" s="410"/>
      <c r="I109" s="108">
        <v>11</v>
      </c>
      <c r="J109" s="108">
        <v>1.3</v>
      </c>
      <c r="K109" s="108"/>
      <c r="L109" s="108"/>
      <c r="M109" s="108"/>
      <c r="N109" s="108"/>
      <c r="O109" s="108"/>
    </row>
    <row r="110" spans="1:15" ht="12.75">
      <c r="A110" s="108"/>
      <c r="B110" s="108"/>
      <c r="C110" s="410"/>
      <c r="D110" s="410"/>
      <c r="E110" s="108">
        <v>12</v>
      </c>
      <c r="F110" s="108">
        <v>600</v>
      </c>
      <c r="G110" s="108"/>
      <c r="H110" s="410"/>
      <c r="I110" s="108">
        <v>12</v>
      </c>
      <c r="J110" s="108">
        <v>1.35</v>
      </c>
      <c r="K110" s="108"/>
      <c r="L110" s="108"/>
      <c r="M110" s="108"/>
      <c r="N110" s="108"/>
      <c r="O110" s="108"/>
    </row>
    <row r="111" spans="1:15" ht="12.75">
      <c r="A111" s="108"/>
      <c r="B111" s="108"/>
      <c r="C111" s="410"/>
      <c r="D111" s="410"/>
      <c r="E111" s="108">
        <v>13</v>
      </c>
      <c r="F111" s="108">
        <v>650</v>
      </c>
      <c r="G111" s="108"/>
      <c r="H111" s="410"/>
      <c r="I111" s="108">
        <v>13</v>
      </c>
      <c r="J111" s="108">
        <v>1.4</v>
      </c>
      <c r="K111" s="108"/>
      <c r="L111" s="108"/>
      <c r="M111" s="108"/>
      <c r="N111" s="108"/>
      <c r="O111" s="108"/>
    </row>
    <row r="112" spans="1:15" ht="12.75">
      <c r="A112" s="108"/>
      <c r="B112" s="108"/>
      <c r="C112" s="410"/>
      <c r="D112" s="410"/>
      <c r="E112" s="108">
        <v>14</v>
      </c>
      <c r="F112" s="108">
        <v>750</v>
      </c>
      <c r="G112" s="108"/>
      <c r="H112" s="410"/>
      <c r="I112" s="108">
        <v>14</v>
      </c>
      <c r="J112" s="108">
        <v>1.45</v>
      </c>
      <c r="K112" s="108"/>
      <c r="L112" s="108"/>
      <c r="M112" s="108"/>
      <c r="N112" s="108"/>
      <c r="O112" s="108"/>
    </row>
    <row r="113" spans="1:15" ht="12.75">
      <c r="A113" s="108"/>
      <c r="B113" s="108"/>
      <c r="C113" s="410"/>
      <c r="D113" s="410"/>
      <c r="E113" s="108">
        <v>15</v>
      </c>
      <c r="F113" s="108">
        <v>800</v>
      </c>
      <c r="G113" s="108"/>
      <c r="H113" s="410"/>
      <c r="I113" s="108">
        <v>15</v>
      </c>
      <c r="J113" s="108">
        <v>1.5</v>
      </c>
      <c r="K113" s="108"/>
      <c r="L113" s="108"/>
      <c r="M113" s="108"/>
      <c r="N113" s="108"/>
      <c r="O113" s="108"/>
    </row>
    <row r="114" spans="1:15" ht="12.75">
      <c r="A114" s="108"/>
      <c r="B114" s="108"/>
      <c r="C114" s="108"/>
      <c r="D114" s="108"/>
      <c r="E114" s="108"/>
      <c r="F114" s="108"/>
      <c r="G114" s="108"/>
      <c r="H114" s="410"/>
      <c r="I114" s="108">
        <v>16</v>
      </c>
      <c r="J114" s="108">
        <v>1.6</v>
      </c>
      <c r="K114" s="108"/>
      <c r="L114" s="108"/>
      <c r="M114" s="108"/>
      <c r="N114" s="108"/>
      <c r="O114" s="108"/>
    </row>
    <row r="115" spans="1:15" ht="12.75">
      <c r="A115" s="108"/>
      <c r="B115" s="108"/>
      <c r="C115" s="108"/>
      <c r="D115" s="108"/>
      <c r="E115" s="108"/>
      <c r="F115" s="108"/>
      <c r="G115" s="108"/>
      <c r="H115" s="410"/>
      <c r="I115" s="108">
        <v>17</v>
      </c>
      <c r="J115" s="108">
        <v>1.8</v>
      </c>
      <c r="K115" s="108"/>
      <c r="L115" s="108"/>
      <c r="M115" s="108"/>
      <c r="N115" s="108"/>
      <c r="O115" s="108"/>
    </row>
    <row r="116" spans="1:15" ht="12.75">
      <c r="A116" s="108"/>
      <c r="B116" s="108"/>
      <c r="C116" s="108"/>
      <c r="D116" s="108"/>
      <c r="E116" s="108"/>
      <c r="F116" s="108"/>
      <c r="G116" s="108"/>
      <c r="H116" s="410"/>
      <c r="I116" s="108">
        <v>18</v>
      </c>
      <c r="J116" s="108">
        <v>2</v>
      </c>
      <c r="K116" s="108"/>
      <c r="L116" s="108"/>
      <c r="M116" s="108"/>
      <c r="N116" s="108"/>
      <c r="O116" s="108"/>
    </row>
    <row r="117" spans="1:15" ht="12.75">
      <c r="A117" s="108"/>
      <c r="B117" s="108"/>
      <c r="C117" s="108"/>
      <c r="D117" s="108"/>
      <c r="E117" s="108"/>
      <c r="F117" s="108"/>
      <c r="G117" s="108"/>
      <c r="H117" s="410"/>
      <c r="I117" s="108">
        <v>19</v>
      </c>
      <c r="J117" s="108">
        <v>2.2</v>
      </c>
      <c r="K117" s="108"/>
      <c r="L117" s="108"/>
      <c r="M117" s="108"/>
      <c r="N117" s="108"/>
      <c r="O117" s="108"/>
    </row>
    <row r="118" spans="1:15" ht="12.75">
      <c r="A118" s="108"/>
      <c r="B118" s="108"/>
      <c r="C118" s="108"/>
      <c r="D118" s="108"/>
      <c r="E118" s="108"/>
      <c r="F118" s="108"/>
      <c r="G118" s="108"/>
      <c r="H118" s="157"/>
      <c r="I118" s="108"/>
      <c r="J118" s="108"/>
      <c r="K118" s="108"/>
      <c r="L118" s="108"/>
      <c r="M118" s="108"/>
      <c r="N118" s="108"/>
      <c r="O118" s="108"/>
    </row>
    <row r="119" spans="1:15" ht="18" customHeight="1">
      <c r="A119" s="420" t="s">
        <v>110</v>
      </c>
      <c r="B119" s="420"/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</row>
    <row r="120" spans="1:15" ht="18" customHeight="1">
      <c r="A120" s="177" t="s">
        <v>146</v>
      </c>
      <c r="B120" s="178"/>
      <c r="C120" s="178"/>
      <c r="D120" s="178"/>
      <c r="E120" s="178"/>
      <c r="F120" s="178"/>
      <c r="G120" s="178"/>
      <c r="H120" s="178"/>
      <c r="I120" s="178"/>
      <c r="J120" s="108"/>
      <c r="K120" s="108"/>
      <c r="L120" s="108"/>
      <c r="M120" s="108"/>
      <c r="N120" s="108"/>
      <c r="O120" s="108"/>
    </row>
    <row r="121" spans="1:15" ht="12.75">
      <c r="A121" s="108"/>
      <c r="B121" s="108" t="s">
        <v>147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1:15" ht="12.75">
      <c r="A122" s="108"/>
      <c r="B122" s="108" t="s">
        <v>148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1:15" ht="12.75">
      <c r="A123" s="410">
        <v>10</v>
      </c>
      <c r="B123" s="410">
        <v>10</v>
      </c>
      <c r="C123" s="410">
        <v>3</v>
      </c>
      <c r="D123" s="108">
        <v>1</v>
      </c>
      <c r="E123" s="108">
        <v>100</v>
      </c>
      <c r="F123" s="108"/>
      <c r="G123" s="108"/>
      <c r="H123" s="108" t="s">
        <v>211</v>
      </c>
      <c r="I123" s="108"/>
      <c r="J123" s="108"/>
      <c r="K123" s="108"/>
      <c r="L123" s="108" t="s">
        <v>219</v>
      </c>
      <c r="M123" s="108" t="s">
        <v>14</v>
      </c>
      <c r="N123" s="108"/>
      <c r="O123" s="108"/>
    </row>
    <row r="124" spans="1:15" ht="12.75">
      <c r="A124" s="410"/>
      <c r="B124" s="410"/>
      <c r="C124" s="410"/>
      <c r="D124" s="108">
        <v>2</v>
      </c>
      <c r="E124" s="108">
        <v>120</v>
      </c>
      <c r="F124" s="108"/>
      <c r="G124" s="108"/>
      <c r="H124" s="410">
        <v>3</v>
      </c>
      <c r="I124" s="108">
        <v>1</v>
      </c>
      <c r="J124" s="108">
        <v>0.2</v>
      </c>
      <c r="K124" s="108"/>
      <c r="L124" s="410">
        <v>10</v>
      </c>
      <c r="M124" s="108">
        <v>1</v>
      </c>
      <c r="N124" s="108">
        <v>2</v>
      </c>
      <c r="O124" s="108"/>
    </row>
    <row r="125" spans="1:15" ht="12.75">
      <c r="A125" s="410"/>
      <c r="B125" s="410"/>
      <c r="C125" s="410"/>
      <c r="D125" s="108">
        <v>3</v>
      </c>
      <c r="E125" s="108">
        <v>150</v>
      </c>
      <c r="F125" s="108"/>
      <c r="G125" s="108"/>
      <c r="H125" s="410"/>
      <c r="I125" s="108">
        <v>2</v>
      </c>
      <c r="J125" s="108">
        <v>0.4</v>
      </c>
      <c r="K125" s="108"/>
      <c r="L125" s="410"/>
      <c r="M125" s="108">
        <v>2</v>
      </c>
      <c r="N125" s="108">
        <v>2.2</v>
      </c>
      <c r="O125" s="108"/>
    </row>
    <row r="126" spans="1:15" ht="12.75">
      <c r="A126" s="410"/>
      <c r="B126" s="410"/>
      <c r="C126" s="410"/>
      <c r="D126" s="108">
        <v>4</v>
      </c>
      <c r="E126" s="108">
        <v>180</v>
      </c>
      <c r="F126" s="108"/>
      <c r="G126" s="108"/>
      <c r="H126" s="410"/>
      <c r="I126" s="108">
        <v>3</v>
      </c>
      <c r="J126" s="108">
        <v>0.5</v>
      </c>
      <c r="K126" s="108"/>
      <c r="L126" s="410"/>
      <c r="M126" s="108">
        <v>3</v>
      </c>
      <c r="N126" s="108">
        <v>2.4</v>
      </c>
      <c r="O126" s="108"/>
    </row>
    <row r="127" spans="1:15" ht="12.75">
      <c r="A127" s="410"/>
      <c r="B127" s="410"/>
      <c r="C127" s="410"/>
      <c r="D127" s="108">
        <v>5</v>
      </c>
      <c r="E127" s="108">
        <v>200</v>
      </c>
      <c r="F127" s="108"/>
      <c r="G127" s="108"/>
      <c r="H127" s="410"/>
      <c r="I127" s="108">
        <v>4</v>
      </c>
      <c r="J127" s="108">
        <v>0.55</v>
      </c>
      <c r="K127" s="108"/>
      <c r="L127" s="410"/>
      <c r="M127" s="108">
        <v>4</v>
      </c>
      <c r="N127" s="108">
        <v>2.6</v>
      </c>
      <c r="O127" s="108"/>
    </row>
    <row r="128" spans="1:15" ht="12.75">
      <c r="A128" s="410"/>
      <c r="B128" s="410"/>
      <c r="C128" s="410"/>
      <c r="D128" s="108">
        <v>6</v>
      </c>
      <c r="E128" s="108">
        <v>250</v>
      </c>
      <c r="F128" s="108"/>
      <c r="G128" s="108"/>
      <c r="H128" s="410"/>
      <c r="I128" s="108">
        <v>5</v>
      </c>
      <c r="J128" s="108">
        <v>0.6</v>
      </c>
      <c r="K128" s="108"/>
      <c r="L128" s="410"/>
      <c r="M128" s="108">
        <v>5</v>
      </c>
      <c r="N128" s="108">
        <v>2.8</v>
      </c>
      <c r="O128" s="108"/>
    </row>
    <row r="129" spans="1:15" ht="12.75">
      <c r="A129" s="410"/>
      <c r="B129" s="410"/>
      <c r="C129" s="410"/>
      <c r="D129" s="108">
        <v>7</v>
      </c>
      <c r="E129" s="108">
        <v>300</v>
      </c>
      <c r="F129" s="108"/>
      <c r="G129" s="108"/>
      <c r="H129" s="410"/>
      <c r="I129" s="108">
        <v>6</v>
      </c>
      <c r="J129" s="108">
        <v>0.65</v>
      </c>
      <c r="K129" s="108"/>
      <c r="L129" s="410"/>
      <c r="M129" s="108">
        <v>6</v>
      </c>
      <c r="N129" s="108">
        <v>3</v>
      </c>
      <c r="O129" s="108"/>
    </row>
    <row r="130" spans="1:15" ht="12.75">
      <c r="A130" s="410"/>
      <c r="B130" s="410"/>
      <c r="C130" s="410"/>
      <c r="D130" s="108">
        <v>8</v>
      </c>
      <c r="E130" s="108">
        <v>350</v>
      </c>
      <c r="F130" s="108"/>
      <c r="G130" s="108"/>
      <c r="H130" s="410"/>
      <c r="I130" s="108">
        <v>7</v>
      </c>
      <c r="J130" s="108">
        <v>0.7</v>
      </c>
      <c r="K130" s="108"/>
      <c r="L130" s="410"/>
      <c r="M130" s="108">
        <v>7</v>
      </c>
      <c r="N130" s="108">
        <v>3.1</v>
      </c>
      <c r="O130" s="108"/>
    </row>
    <row r="131" spans="1:15" ht="12.75">
      <c r="A131" s="410"/>
      <c r="B131" s="410"/>
      <c r="C131" s="410"/>
      <c r="D131" s="108">
        <v>9</v>
      </c>
      <c r="E131" s="108">
        <v>400</v>
      </c>
      <c r="F131" s="108"/>
      <c r="G131" s="108"/>
      <c r="H131" s="410"/>
      <c r="I131" s="108">
        <v>8</v>
      </c>
      <c r="J131" s="108">
        <v>0.75</v>
      </c>
      <c r="K131" s="108"/>
      <c r="L131" s="410"/>
      <c r="M131" s="108">
        <v>8</v>
      </c>
      <c r="N131" s="108">
        <v>3.2</v>
      </c>
      <c r="O131" s="108"/>
    </row>
    <row r="132" spans="1:15" ht="12.75">
      <c r="A132" s="410"/>
      <c r="B132" s="410"/>
      <c r="C132" s="410"/>
      <c r="D132" s="108">
        <v>10</v>
      </c>
      <c r="E132" s="108">
        <v>450</v>
      </c>
      <c r="F132" s="108"/>
      <c r="G132" s="108"/>
      <c r="H132" s="410"/>
      <c r="I132" s="108">
        <v>9</v>
      </c>
      <c r="J132" s="108">
        <v>0.8</v>
      </c>
      <c r="K132" s="108"/>
      <c r="L132" s="410"/>
      <c r="M132" s="108">
        <v>9</v>
      </c>
      <c r="N132" s="108">
        <v>3.3</v>
      </c>
      <c r="O132" s="108"/>
    </row>
    <row r="133" spans="1:15" ht="12.75">
      <c r="A133" s="108"/>
      <c r="B133" s="108" t="s">
        <v>152</v>
      </c>
      <c r="C133" s="108"/>
      <c r="D133" s="108"/>
      <c r="E133" s="108"/>
      <c r="F133" s="108"/>
      <c r="G133" s="108"/>
      <c r="H133" s="410"/>
      <c r="I133" s="108">
        <v>10</v>
      </c>
      <c r="J133" s="108">
        <v>0.85</v>
      </c>
      <c r="K133" s="108"/>
      <c r="L133" s="410"/>
      <c r="M133" s="108">
        <v>10</v>
      </c>
      <c r="N133" s="108">
        <v>3.4</v>
      </c>
      <c r="O133" s="108"/>
    </row>
    <row r="134" spans="1:15" ht="12.75">
      <c r="A134" s="410">
        <v>5</v>
      </c>
      <c r="B134" s="410">
        <v>7</v>
      </c>
      <c r="C134" s="410">
        <v>10</v>
      </c>
      <c r="D134" s="410">
        <v>10</v>
      </c>
      <c r="E134" s="108">
        <v>1</v>
      </c>
      <c r="F134" s="108">
        <v>100</v>
      </c>
      <c r="G134" s="108"/>
      <c r="H134" s="410"/>
      <c r="I134" s="108">
        <v>11</v>
      </c>
      <c r="J134" s="108">
        <v>0.9</v>
      </c>
      <c r="K134" s="108"/>
      <c r="L134" s="410"/>
      <c r="M134" s="108">
        <v>11</v>
      </c>
      <c r="N134" s="108">
        <v>3.6</v>
      </c>
      <c r="O134" s="108"/>
    </row>
    <row r="135" spans="1:15" ht="12.75">
      <c r="A135" s="410"/>
      <c r="B135" s="410"/>
      <c r="C135" s="410"/>
      <c r="D135" s="410"/>
      <c r="E135" s="108">
        <v>2</v>
      </c>
      <c r="F135" s="108">
        <v>120</v>
      </c>
      <c r="G135" s="108"/>
      <c r="H135" s="410"/>
      <c r="I135" s="108">
        <v>12</v>
      </c>
      <c r="J135" s="108">
        <v>0.95</v>
      </c>
      <c r="K135" s="108"/>
      <c r="L135" s="410"/>
      <c r="M135" s="108">
        <v>12</v>
      </c>
      <c r="N135" s="108">
        <v>3.8</v>
      </c>
      <c r="O135" s="108"/>
    </row>
    <row r="136" spans="1:15" ht="12.75">
      <c r="A136" s="410"/>
      <c r="B136" s="410"/>
      <c r="C136" s="410"/>
      <c r="D136" s="410"/>
      <c r="E136" s="108">
        <v>3</v>
      </c>
      <c r="F136" s="108">
        <v>150</v>
      </c>
      <c r="G136" s="108"/>
      <c r="H136" s="410"/>
      <c r="I136" s="108">
        <v>13</v>
      </c>
      <c r="J136" s="108">
        <v>0.1</v>
      </c>
      <c r="K136" s="108"/>
      <c r="L136" s="410"/>
      <c r="M136" s="108">
        <v>13</v>
      </c>
      <c r="N136" s="108">
        <v>4</v>
      </c>
      <c r="O136" s="108"/>
    </row>
    <row r="137" spans="1:15" ht="12.75">
      <c r="A137" s="410"/>
      <c r="B137" s="410"/>
      <c r="C137" s="410"/>
      <c r="D137" s="410"/>
      <c r="E137" s="108">
        <v>4</v>
      </c>
      <c r="F137" s="108">
        <v>180</v>
      </c>
      <c r="G137" s="108"/>
      <c r="H137" s="410"/>
      <c r="I137" s="108">
        <v>14</v>
      </c>
      <c r="J137" s="108">
        <v>0.12</v>
      </c>
      <c r="K137" s="108"/>
      <c r="L137" s="410"/>
      <c r="M137" s="108">
        <v>14</v>
      </c>
      <c r="N137" s="108">
        <v>4.1</v>
      </c>
      <c r="O137" s="108"/>
    </row>
    <row r="138" spans="1:15" ht="12.75">
      <c r="A138" s="410"/>
      <c r="B138" s="410"/>
      <c r="C138" s="410"/>
      <c r="D138" s="410"/>
      <c r="E138" s="108">
        <v>5</v>
      </c>
      <c r="F138" s="108">
        <v>200</v>
      </c>
      <c r="G138" s="108"/>
      <c r="H138" s="410"/>
      <c r="I138" s="108">
        <v>15</v>
      </c>
      <c r="J138" s="108">
        <v>0.13</v>
      </c>
      <c r="K138" s="108"/>
      <c r="L138" s="410"/>
      <c r="M138" s="108">
        <v>15</v>
      </c>
      <c r="N138" s="108">
        <v>4.2</v>
      </c>
      <c r="O138" s="108"/>
    </row>
    <row r="139" spans="1:15" ht="12.75">
      <c r="A139" s="410"/>
      <c r="B139" s="410"/>
      <c r="C139" s="410"/>
      <c r="D139" s="410"/>
      <c r="E139" s="108">
        <v>6</v>
      </c>
      <c r="F139" s="108">
        <v>250</v>
      </c>
      <c r="G139" s="108"/>
      <c r="H139" s="410"/>
      <c r="I139" s="108">
        <v>16</v>
      </c>
      <c r="J139" s="108">
        <v>0.14</v>
      </c>
      <c r="K139" s="108"/>
      <c r="L139" s="410"/>
      <c r="M139" s="108">
        <v>16</v>
      </c>
      <c r="N139" s="108">
        <v>4.3</v>
      </c>
      <c r="O139" s="108"/>
    </row>
    <row r="140" spans="1:15" ht="12.75">
      <c r="A140" s="410"/>
      <c r="B140" s="410"/>
      <c r="C140" s="410"/>
      <c r="D140" s="410"/>
      <c r="E140" s="108">
        <v>7</v>
      </c>
      <c r="F140" s="108">
        <v>300</v>
      </c>
      <c r="G140" s="108"/>
      <c r="H140" s="410"/>
      <c r="I140" s="108">
        <v>17</v>
      </c>
      <c r="J140" s="108">
        <v>0.15</v>
      </c>
      <c r="K140" s="108"/>
      <c r="L140" s="410"/>
      <c r="M140" s="108">
        <v>17</v>
      </c>
      <c r="N140" s="108">
        <v>4.4</v>
      </c>
      <c r="O140" s="108"/>
    </row>
    <row r="141" spans="1:15" ht="12.75">
      <c r="A141" s="410"/>
      <c r="B141" s="410"/>
      <c r="C141" s="410"/>
      <c r="D141" s="410"/>
      <c r="E141" s="108">
        <v>8</v>
      </c>
      <c r="F141" s="108">
        <v>350</v>
      </c>
      <c r="G141" s="108"/>
      <c r="H141" s="108"/>
      <c r="I141" s="108"/>
      <c r="J141" s="108"/>
      <c r="K141" s="108"/>
      <c r="L141" s="410"/>
      <c r="M141" s="108">
        <v>18</v>
      </c>
      <c r="N141" s="108">
        <v>4.5</v>
      </c>
      <c r="O141" s="108"/>
    </row>
    <row r="142" spans="1:15" ht="12.75">
      <c r="A142" s="410"/>
      <c r="B142" s="410"/>
      <c r="C142" s="410"/>
      <c r="D142" s="410"/>
      <c r="E142" s="108">
        <v>9</v>
      </c>
      <c r="F142" s="108">
        <v>400</v>
      </c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1:15" ht="12.75">
      <c r="A143" s="410"/>
      <c r="B143" s="410"/>
      <c r="C143" s="410"/>
      <c r="D143" s="410"/>
      <c r="E143" s="108">
        <v>10</v>
      </c>
      <c r="F143" s="108">
        <v>450</v>
      </c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1:15" ht="12.75">
      <c r="A144" s="410"/>
      <c r="B144" s="410"/>
      <c r="C144" s="410"/>
      <c r="D144" s="410"/>
      <c r="E144" s="108">
        <v>11</v>
      </c>
      <c r="F144" s="108">
        <v>500</v>
      </c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1:15" ht="12.75">
      <c r="A145" s="410"/>
      <c r="B145" s="410"/>
      <c r="C145" s="410"/>
      <c r="D145" s="410"/>
      <c r="E145" s="108">
        <v>12</v>
      </c>
      <c r="F145" s="108">
        <v>550</v>
      </c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1:15" ht="12.75">
      <c r="A146" s="410"/>
      <c r="B146" s="410"/>
      <c r="C146" s="410"/>
      <c r="D146" s="410"/>
      <c r="E146" s="108">
        <v>13</v>
      </c>
      <c r="F146" s="108">
        <v>600</v>
      </c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1:15" ht="12.75">
      <c r="A147" s="410"/>
      <c r="B147" s="410"/>
      <c r="C147" s="410"/>
      <c r="D147" s="410"/>
      <c r="E147" s="108">
        <v>14</v>
      </c>
      <c r="F147" s="108">
        <v>650</v>
      </c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1:15" ht="12.75">
      <c r="A148" s="410"/>
      <c r="B148" s="410"/>
      <c r="C148" s="410"/>
      <c r="D148" s="410"/>
      <c r="E148" s="108">
        <v>15</v>
      </c>
      <c r="F148" s="108">
        <v>700</v>
      </c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1:15" ht="12.75">
      <c r="A149" s="410"/>
      <c r="B149" s="410"/>
      <c r="C149" s="410"/>
      <c r="D149" s="410"/>
      <c r="E149" s="108">
        <v>16</v>
      </c>
      <c r="F149" s="108">
        <v>750</v>
      </c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1:15" ht="12.75">
      <c r="A150" s="410"/>
      <c r="B150" s="410"/>
      <c r="C150" s="410"/>
      <c r="D150" s="410"/>
      <c r="E150" s="108">
        <v>17</v>
      </c>
      <c r="F150" s="108">
        <v>800</v>
      </c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1:15" ht="12.75">
      <c r="A151" s="410"/>
      <c r="B151" s="410"/>
      <c r="C151" s="410"/>
      <c r="D151" s="410"/>
      <c r="E151" s="108">
        <v>18</v>
      </c>
      <c r="F151" s="108">
        <v>1000</v>
      </c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1:15" ht="12.75">
      <c r="A152" s="410"/>
      <c r="B152" s="410"/>
      <c r="C152" s="410"/>
      <c r="D152" s="410"/>
      <c r="E152" s="108">
        <v>19</v>
      </c>
      <c r="F152" s="108">
        <v>1200</v>
      </c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1:15" ht="12.7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1:15" ht="12.75">
      <c r="A154" s="108"/>
      <c r="B154" s="108"/>
      <c r="C154" s="115">
        <v>1</v>
      </c>
      <c r="D154" s="157" t="s">
        <v>154</v>
      </c>
      <c r="E154" s="115">
        <v>200</v>
      </c>
      <c r="F154" s="115" t="s">
        <v>156</v>
      </c>
      <c r="G154" s="410">
        <v>1</v>
      </c>
      <c r="H154" s="108"/>
      <c r="I154" s="108"/>
      <c r="J154" s="108"/>
      <c r="K154" s="108"/>
      <c r="L154" s="108"/>
      <c r="M154" s="108"/>
      <c r="N154" s="108"/>
      <c r="O154" s="108"/>
    </row>
    <row r="155" spans="1:15" ht="12.75">
      <c r="A155" s="108"/>
      <c r="B155" s="108"/>
      <c r="C155" s="115">
        <v>2</v>
      </c>
      <c r="D155" s="157" t="s">
        <v>155</v>
      </c>
      <c r="E155" s="115">
        <v>400</v>
      </c>
      <c r="F155" s="115" t="s">
        <v>156</v>
      </c>
      <c r="G155" s="410"/>
      <c r="H155" s="108"/>
      <c r="I155" s="108"/>
      <c r="J155" s="108"/>
      <c r="K155" s="108"/>
      <c r="L155" s="108"/>
      <c r="M155" s="108"/>
      <c r="N155" s="108"/>
      <c r="O155" s="108"/>
    </row>
    <row r="156" spans="1:15" ht="12.75">
      <c r="A156" s="108"/>
      <c r="B156" s="108"/>
      <c r="C156" s="115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1:15" ht="12.75">
      <c r="A157" s="108"/>
      <c r="B157" s="410">
        <v>1</v>
      </c>
      <c r="C157" s="115">
        <v>1</v>
      </c>
      <c r="D157" s="108" t="s">
        <v>180</v>
      </c>
      <c r="E157" s="108" t="s">
        <v>183</v>
      </c>
      <c r="F157" s="115">
        <f>CFCột!E19*1500+VLOOKUP(G154,T,3,FALSE)</f>
        <v>1250</v>
      </c>
      <c r="G157" s="410">
        <v>1</v>
      </c>
      <c r="H157" s="108"/>
      <c r="I157" s="108"/>
      <c r="J157" s="108"/>
      <c r="K157" s="108"/>
      <c r="L157" s="108"/>
      <c r="M157" s="108"/>
      <c r="N157" s="108"/>
      <c r="O157" s="108"/>
    </row>
    <row r="158" spans="1:15" ht="12.75">
      <c r="A158" s="108" t="s">
        <v>53</v>
      </c>
      <c r="B158" s="410"/>
      <c r="C158" s="115">
        <v>2</v>
      </c>
      <c r="D158" s="108" t="s">
        <v>181</v>
      </c>
      <c r="E158" s="108" t="s">
        <v>182</v>
      </c>
      <c r="F158" s="115">
        <f>CFCột!E19*CFCột!E18+VLOOKUP(G154,T,3,FALSE)</f>
        <v>1950</v>
      </c>
      <c r="G158" s="410"/>
      <c r="H158" s="108"/>
      <c r="I158" s="108"/>
      <c r="J158" s="108"/>
      <c r="K158" s="108"/>
      <c r="L158" s="108"/>
      <c r="M158" s="108"/>
      <c r="N158" s="108"/>
      <c r="O158" s="108"/>
    </row>
    <row r="159" spans="2:15" ht="12.75">
      <c r="B159" s="116"/>
      <c r="C159" s="116"/>
      <c r="F159" s="116"/>
      <c r="G159" s="116"/>
      <c r="L159" s="208"/>
      <c r="M159" s="108"/>
      <c r="N159" s="108"/>
      <c r="O159" s="108"/>
    </row>
    <row r="160" spans="2:15" ht="12.75">
      <c r="B160" s="116"/>
      <c r="C160" s="116"/>
      <c r="F160" s="116"/>
      <c r="G160" s="116"/>
      <c r="L160" s="208"/>
      <c r="M160" s="108"/>
      <c r="N160" s="108"/>
      <c r="O160" s="108"/>
    </row>
    <row r="161" spans="12:15" ht="12.75">
      <c r="L161" s="208"/>
      <c r="M161" s="108"/>
      <c r="N161" s="108"/>
      <c r="O161" s="108"/>
    </row>
    <row r="162" spans="11:15" ht="12.75">
      <c r="K162" s="107" t="s">
        <v>216</v>
      </c>
      <c r="L162" s="208"/>
      <c r="M162" s="108"/>
      <c r="N162" s="108"/>
      <c r="O162" s="108"/>
    </row>
    <row r="163" spans="1:15" ht="12.75">
      <c r="A163" s="410">
        <v>1</v>
      </c>
      <c r="B163" s="410">
        <v>1</v>
      </c>
      <c r="C163" s="410">
        <v>3</v>
      </c>
      <c r="D163" s="410">
        <v>1</v>
      </c>
      <c r="E163" s="410">
        <v>1</v>
      </c>
      <c r="F163" s="410">
        <v>1</v>
      </c>
      <c r="G163" s="410">
        <v>1</v>
      </c>
      <c r="H163" s="410">
        <v>1</v>
      </c>
      <c r="I163" s="410">
        <v>1</v>
      </c>
      <c r="J163" s="410">
        <v>1</v>
      </c>
      <c r="K163" s="157">
        <v>1</v>
      </c>
      <c r="L163" s="108">
        <v>200</v>
      </c>
      <c r="M163" s="108"/>
      <c r="N163" s="108"/>
      <c r="O163" s="108"/>
    </row>
    <row r="164" spans="1:15" ht="12.75">
      <c r="A164" s="410"/>
      <c r="B164" s="410"/>
      <c r="C164" s="410"/>
      <c r="D164" s="410"/>
      <c r="E164" s="410"/>
      <c r="F164" s="410"/>
      <c r="G164" s="410"/>
      <c r="H164" s="410"/>
      <c r="I164" s="410"/>
      <c r="J164" s="410"/>
      <c r="K164" s="157">
        <v>2</v>
      </c>
      <c r="L164" s="108">
        <v>250</v>
      </c>
      <c r="M164" s="108"/>
      <c r="N164" s="108"/>
      <c r="O164" s="108"/>
    </row>
    <row r="165" spans="1:15" ht="12.75">
      <c r="A165" s="410"/>
      <c r="B165" s="410"/>
      <c r="C165" s="410"/>
      <c r="D165" s="410"/>
      <c r="E165" s="410"/>
      <c r="F165" s="410"/>
      <c r="G165" s="410"/>
      <c r="H165" s="410"/>
      <c r="I165" s="410"/>
      <c r="J165" s="410"/>
      <c r="K165" s="157">
        <v>3</v>
      </c>
      <c r="L165" s="108">
        <v>300</v>
      </c>
      <c r="M165" s="108"/>
      <c r="N165" s="108"/>
      <c r="O165" s="108"/>
    </row>
    <row r="166" spans="1:15" ht="12.75">
      <c r="A166" s="410"/>
      <c r="B166" s="410"/>
      <c r="C166" s="410"/>
      <c r="D166" s="410"/>
      <c r="E166" s="410"/>
      <c r="F166" s="410"/>
      <c r="G166" s="410"/>
      <c r="H166" s="410"/>
      <c r="I166" s="410"/>
      <c r="J166" s="410"/>
      <c r="K166" s="157">
        <v>4</v>
      </c>
      <c r="L166" s="108">
        <v>350</v>
      </c>
      <c r="M166" s="108"/>
      <c r="N166" s="108"/>
      <c r="O166" s="108"/>
    </row>
    <row r="167" spans="1:15" ht="12.75">
      <c r="A167" s="410"/>
      <c r="B167" s="410"/>
      <c r="C167" s="410"/>
      <c r="D167" s="410"/>
      <c r="E167" s="410"/>
      <c r="F167" s="410"/>
      <c r="G167" s="410"/>
      <c r="H167" s="410"/>
      <c r="I167" s="410"/>
      <c r="J167" s="410"/>
      <c r="K167" s="157">
        <v>5</v>
      </c>
      <c r="L167" s="108">
        <v>400</v>
      </c>
      <c r="M167" s="108"/>
      <c r="N167" s="108"/>
      <c r="O167" s="108"/>
    </row>
    <row r="168" spans="1:15" ht="12.75">
      <c r="A168" s="410"/>
      <c r="B168" s="410"/>
      <c r="C168" s="410"/>
      <c r="D168" s="410"/>
      <c r="E168" s="410"/>
      <c r="F168" s="410"/>
      <c r="G168" s="410"/>
      <c r="H168" s="410"/>
      <c r="I168" s="410"/>
      <c r="J168" s="410"/>
      <c r="K168" s="157">
        <v>6</v>
      </c>
      <c r="L168" s="108">
        <v>450</v>
      </c>
      <c r="M168" s="108"/>
      <c r="N168" s="108"/>
      <c r="O168" s="108"/>
    </row>
    <row r="169" spans="1:15" ht="12.75">
      <c r="A169" s="410"/>
      <c r="B169" s="410"/>
      <c r="C169" s="410"/>
      <c r="D169" s="410"/>
      <c r="E169" s="410"/>
      <c r="F169" s="410"/>
      <c r="G169" s="410"/>
      <c r="H169" s="410"/>
      <c r="I169" s="410"/>
      <c r="J169" s="410"/>
      <c r="K169" s="157">
        <v>7</v>
      </c>
      <c r="L169" s="108">
        <v>500</v>
      </c>
      <c r="M169" s="108"/>
      <c r="N169" s="108"/>
      <c r="O169" s="108"/>
    </row>
    <row r="170" spans="1:15" ht="12.75">
      <c r="A170" s="410"/>
      <c r="B170" s="410"/>
      <c r="C170" s="410"/>
      <c r="D170" s="410"/>
      <c r="E170" s="410"/>
      <c r="F170" s="410"/>
      <c r="G170" s="410"/>
      <c r="H170" s="410"/>
      <c r="I170" s="410"/>
      <c r="J170" s="410"/>
      <c r="K170" s="157">
        <v>8</v>
      </c>
      <c r="L170" s="108">
        <v>550</v>
      </c>
      <c r="M170" s="108"/>
      <c r="N170" s="108"/>
      <c r="O170" s="108"/>
    </row>
    <row r="171" spans="1:15" ht="12.75">
      <c r="A171" s="410"/>
      <c r="B171" s="410"/>
      <c r="C171" s="410"/>
      <c r="D171" s="410"/>
      <c r="E171" s="410"/>
      <c r="F171" s="410"/>
      <c r="G171" s="410"/>
      <c r="H171" s="410"/>
      <c r="I171" s="410"/>
      <c r="J171" s="410"/>
      <c r="K171" s="157">
        <v>9</v>
      </c>
      <c r="L171" s="108">
        <v>600</v>
      </c>
      <c r="M171" s="108"/>
      <c r="N171" s="108"/>
      <c r="O171" s="108"/>
    </row>
    <row r="172" spans="1:15" ht="12.75">
      <c r="A172" s="410"/>
      <c r="B172" s="410"/>
      <c r="C172" s="410"/>
      <c r="D172" s="410"/>
      <c r="E172" s="410"/>
      <c r="F172" s="410"/>
      <c r="G172" s="410"/>
      <c r="H172" s="410"/>
      <c r="I172" s="410"/>
      <c r="J172" s="410"/>
      <c r="K172" s="157">
        <v>10</v>
      </c>
      <c r="L172" s="108">
        <v>650</v>
      </c>
      <c r="M172" s="108"/>
      <c r="N172" s="108"/>
      <c r="O172" s="108"/>
    </row>
    <row r="173" spans="1:15" ht="12.75">
      <c r="A173" s="410"/>
      <c r="B173" s="410"/>
      <c r="C173" s="410"/>
      <c r="D173" s="410"/>
      <c r="E173" s="410"/>
      <c r="F173" s="410"/>
      <c r="G173" s="410"/>
      <c r="H173" s="410"/>
      <c r="I173" s="410"/>
      <c r="J173" s="410"/>
      <c r="K173" s="157">
        <v>11</v>
      </c>
      <c r="L173" s="108">
        <v>700</v>
      </c>
      <c r="M173" s="108"/>
      <c r="N173" s="108"/>
      <c r="O173" s="108"/>
    </row>
    <row r="174" spans="1:15" ht="12.75">
      <c r="A174" s="410"/>
      <c r="B174" s="410"/>
      <c r="C174" s="410"/>
      <c r="D174" s="410"/>
      <c r="E174" s="410"/>
      <c r="F174" s="410"/>
      <c r="G174" s="410"/>
      <c r="H174" s="410"/>
      <c r="I174" s="410"/>
      <c r="J174" s="410"/>
      <c r="K174" s="157">
        <v>12</v>
      </c>
      <c r="L174" s="108">
        <v>800</v>
      </c>
      <c r="M174" s="108"/>
      <c r="N174" s="108"/>
      <c r="O174" s="108"/>
    </row>
    <row r="175" spans="1:15" ht="12.75">
      <c r="A175" s="410"/>
      <c r="B175" s="410"/>
      <c r="C175" s="410"/>
      <c r="D175" s="410"/>
      <c r="E175" s="410"/>
      <c r="F175" s="410"/>
      <c r="G175" s="410"/>
      <c r="H175" s="410"/>
      <c r="I175" s="410"/>
      <c r="J175" s="410"/>
      <c r="K175" s="157">
        <v>13</v>
      </c>
      <c r="L175" s="108">
        <v>900</v>
      </c>
      <c r="M175" s="108"/>
      <c r="N175" s="108"/>
      <c r="O175" s="108"/>
    </row>
    <row r="176" spans="1:15" ht="12.75">
      <c r="A176" s="410"/>
      <c r="B176" s="410"/>
      <c r="C176" s="410"/>
      <c r="D176" s="410"/>
      <c r="E176" s="410"/>
      <c r="F176" s="410"/>
      <c r="G176" s="410"/>
      <c r="H176" s="410"/>
      <c r="I176" s="410"/>
      <c r="J176" s="410"/>
      <c r="K176" s="157">
        <v>14</v>
      </c>
      <c r="L176" s="108">
        <v>1000</v>
      </c>
      <c r="M176" s="108"/>
      <c r="N176" s="108"/>
      <c r="O176" s="108"/>
    </row>
    <row r="177" spans="1:15" ht="12.75">
      <c r="A177" s="115"/>
      <c r="B177" s="181"/>
      <c r="C177" s="181"/>
      <c r="D177" s="181"/>
      <c r="E177" s="181"/>
      <c r="F177" s="181"/>
      <c r="G177" s="181"/>
      <c r="H177" s="181"/>
      <c r="I177" s="181"/>
      <c r="J177" s="181"/>
      <c r="K177" s="157" t="s">
        <v>288</v>
      </c>
      <c r="L177" s="108"/>
      <c r="M177" s="108"/>
      <c r="N177" s="108"/>
      <c r="O177" s="108"/>
    </row>
    <row r="178" spans="1:15" ht="12.75">
      <c r="A178" s="411">
        <v>1</v>
      </c>
      <c r="B178" s="411">
        <v>1</v>
      </c>
      <c r="C178" s="411">
        <v>1</v>
      </c>
      <c r="D178" s="411">
        <v>1</v>
      </c>
      <c r="E178" s="411">
        <v>1</v>
      </c>
      <c r="F178" s="411">
        <v>1</v>
      </c>
      <c r="G178" s="411">
        <v>1</v>
      </c>
      <c r="H178" s="411">
        <v>1</v>
      </c>
      <c r="I178" s="411">
        <v>1</v>
      </c>
      <c r="J178" s="411">
        <v>1</v>
      </c>
      <c r="K178" s="157">
        <v>1</v>
      </c>
      <c r="L178" s="108">
        <v>100</v>
      </c>
      <c r="M178" s="108"/>
      <c r="N178" s="108"/>
      <c r="O178" s="108"/>
    </row>
    <row r="179" spans="1:15" ht="12.75">
      <c r="A179" s="412"/>
      <c r="B179" s="412"/>
      <c r="C179" s="412"/>
      <c r="D179" s="412"/>
      <c r="E179" s="412"/>
      <c r="F179" s="412"/>
      <c r="G179" s="412"/>
      <c r="H179" s="412"/>
      <c r="I179" s="412"/>
      <c r="J179" s="412"/>
      <c r="K179" s="157">
        <v>2</v>
      </c>
      <c r="L179" s="108">
        <v>120</v>
      </c>
      <c r="M179" s="108"/>
      <c r="N179" s="108"/>
      <c r="O179" s="108"/>
    </row>
    <row r="180" spans="1:15" ht="12.75">
      <c r="A180" s="412"/>
      <c r="B180" s="412"/>
      <c r="C180" s="412"/>
      <c r="D180" s="412"/>
      <c r="E180" s="412"/>
      <c r="F180" s="412"/>
      <c r="G180" s="412"/>
      <c r="H180" s="412"/>
      <c r="I180" s="412"/>
      <c r="J180" s="412"/>
      <c r="K180" s="157">
        <v>3</v>
      </c>
      <c r="L180" s="108">
        <v>150</v>
      </c>
      <c r="M180" s="108"/>
      <c r="N180" s="108"/>
      <c r="O180" s="108"/>
    </row>
    <row r="181" spans="1:15" ht="12.75">
      <c r="A181" s="412"/>
      <c r="B181" s="412"/>
      <c r="C181" s="412"/>
      <c r="D181" s="412"/>
      <c r="E181" s="412"/>
      <c r="F181" s="412"/>
      <c r="G181" s="412"/>
      <c r="H181" s="412"/>
      <c r="I181" s="412"/>
      <c r="J181" s="412"/>
      <c r="K181" s="157">
        <v>4</v>
      </c>
      <c r="L181" s="108">
        <v>160</v>
      </c>
      <c r="M181" s="108"/>
      <c r="N181" s="108"/>
      <c r="O181" s="108"/>
    </row>
    <row r="182" spans="1:15" ht="12.75">
      <c r="A182" s="412"/>
      <c r="B182" s="412"/>
      <c r="C182" s="412"/>
      <c r="D182" s="412"/>
      <c r="E182" s="412"/>
      <c r="F182" s="412"/>
      <c r="G182" s="412"/>
      <c r="H182" s="412"/>
      <c r="I182" s="412"/>
      <c r="J182" s="412"/>
      <c r="K182" s="157">
        <v>5</v>
      </c>
      <c r="L182" s="108">
        <v>180</v>
      </c>
      <c r="M182" s="108"/>
      <c r="N182" s="108"/>
      <c r="O182" s="108"/>
    </row>
    <row r="183" spans="1:15" ht="12.75">
      <c r="A183" s="412"/>
      <c r="B183" s="412"/>
      <c r="C183" s="412"/>
      <c r="D183" s="412"/>
      <c r="E183" s="412"/>
      <c r="F183" s="412"/>
      <c r="G183" s="412"/>
      <c r="H183" s="412"/>
      <c r="I183" s="412"/>
      <c r="J183" s="412"/>
      <c r="K183" s="157">
        <v>6</v>
      </c>
      <c r="L183" s="108">
        <v>200</v>
      </c>
      <c r="M183" s="108"/>
      <c r="N183" s="108"/>
      <c r="O183" s="108"/>
    </row>
    <row r="184" spans="1:15" ht="12.75">
      <c r="A184" s="412"/>
      <c r="B184" s="412"/>
      <c r="C184" s="412"/>
      <c r="D184" s="412"/>
      <c r="E184" s="412"/>
      <c r="F184" s="412"/>
      <c r="G184" s="412"/>
      <c r="H184" s="412"/>
      <c r="I184" s="412"/>
      <c r="J184" s="412"/>
      <c r="K184" s="157">
        <v>7</v>
      </c>
      <c r="L184" s="108">
        <v>250</v>
      </c>
      <c r="M184" s="108"/>
      <c r="N184" s="108"/>
      <c r="O184" s="108"/>
    </row>
    <row r="185" spans="1:15" ht="12.75">
      <c r="A185" s="412"/>
      <c r="B185" s="412"/>
      <c r="C185" s="412"/>
      <c r="D185" s="412"/>
      <c r="E185" s="412"/>
      <c r="F185" s="412"/>
      <c r="G185" s="412"/>
      <c r="H185" s="412"/>
      <c r="I185" s="412"/>
      <c r="J185" s="412"/>
      <c r="K185" s="157">
        <v>8</v>
      </c>
      <c r="L185" s="108">
        <v>300</v>
      </c>
      <c r="M185" s="108"/>
      <c r="N185" s="108"/>
      <c r="O185" s="108"/>
    </row>
    <row r="186" spans="1:15" ht="12.75">
      <c r="A186" s="412"/>
      <c r="B186" s="412"/>
      <c r="C186" s="412"/>
      <c r="D186" s="412"/>
      <c r="E186" s="412"/>
      <c r="F186" s="412"/>
      <c r="G186" s="412"/>
      <c r="H186" s="412"/>
      <c r="I186" s="412"/>
      <c r="J186" s="412"/>
      <c r="K186" s="157">
        <v>9</v>
      </c>
      <c r="L186" s="108">
        <v>350</v>
      </c>
      <c r="M186" s="108"/>
      <c r="N186" s="108"/>
      <c r="O186" s="108"/>
    </row>
    <row r="187" spans="1:15" ht="12.75">
      <c r="A187" s="412"/>
      <c r="B187" s="412"/>
      <c r="C187" s="412"/>
      <c r="D187" s="412"/>
      <c r="E187" s="412"/>
      <c r="F187" s="412"/>
      <c r="G187" s="412"/>
      <c r="H187" s="412"/>
      <c r="I187" s="412"/>
      <c r="J187" s="412"/>
      <c r="K187" s="157">
        <v>10</v>
      </c>
      <c r="L187" s="108">
        <v>400</v>
      </c>
      <c r="M187" s="108"/>
      <c r="N187" s="108"/>
      <c r="O187" s="108"/>
    </row>
    <row r="188" spans="1:15" ht="12.75">
      <c r="A188" s="412"/>
      <c r="B188" s="412"/>
      <c r="C188" s="412"/>
      <c r="D188" s="412"/>
      <c r="E188" s="412"/>
      <c r="F188" s="412"/>
      <c r="G188" s="412"/>
      <c r="H188" s="412"/>
      <c r="I188" s="412"/>
      <c r="J188" s="412"/>
      <c r="K188" s="157">
        <v>11</v>
      </c>
      <c r="L188" s="108">
        <v>450</v>
      </c>
      <c r="M188" s="108"/>
      <c r="N188" s="108"/>
      <c r="O188" s="108"/>
    </row>
    <row r="189" spans="1:15" ht="12.75">
      <c r="A189" s="413"/>
      <c r="B189" s="413"/>
      <c r="C189" s="413"/>
      <c r="D189" s="413"/>
      <c r="E189" s="413"/>
      <c r="F189" s="413"/>
      <c r="G189" s="413"/>
      <c r="H189" s="413"/>
      <c r="I189" s="413"/>
      <c r="J189" s="413"/>
      <c r="K189" s="157">
        <v>12</v>
      </c>
      <c r="L189" s="108">
        <v>500</v>
      </c>
      <c r="M189" s="108"/>
      <c r="N189" s="108"/>
      <c r="O189" s="108"/>
    </row>
    <row r="190" spans="1:15" ht="12.7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57"/>
      <c r="L190" s="108"/>
      <c r="M190" s="108"/>
      <c r="N190" s="108"/>
      <c r="O190" s="108"/>
    </row>
    <row r="191" spans="1:15" ht="12.75">
      <c r="A191" s="108"/>
      <c r="B191" s="108"/>
      <c r="C191" s="108"/>
      <c r="D191" s="171" t="s">
        <v>252</v>
      </c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1:15" ht="12.75">
      <c r="A192" s="108"/>
      <c r="B192" s="108"/>
      <c r="C192" s="108"/>
      <c r="D192" s="108">
        <v>1</v>
      </c>
      <c r="E192" s="108">
        <v>20</v>
      </c>
      <c r="F192" s="410">
        <v>2</v>
      </c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1:15" ht="12.75">
      <c r="A193" s="108"/>
      <c r="B193" s="108"/>
      <c r="C193" s="108"/>
      <c r="D193" s="108">
        <v>2</v>
      </c>
      <c r="E193" s="108">
        <v>30</v>
      </c>
      <c r="F193" s="410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1:15" ht="12.75">
      <c r="A194" s="108"/>
      <c r="B194" s="108"/>
      <c r="C194" s="108"/>
      <c r="D194" s="108">
        <v>3</v>
      </c>
      <c r="E194" s="108">
        <v>45</v>
      </c>
      <c r="F194" s="410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1:15" ht="12.75">
      <c r="A195" s="108"/>
      <c r="B195" s="108"/>
      <c r="C195" s="108"/>
      <c r="D195" s="415" t="s">
        <v>258</v>
      </c>
      <c r="E195" s="415"/>
      <c r="F195" s="415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1:15" ht="12.75">
      <c r="A196" s="108"/>
      <c r="B196" s="108"/>
      <c r="C196" s="108"/>
      <c r="D196" s="108">
        <v>1</v>
      </c>
      <c r="E196" s="108">
        <v>6</v>
      </c>
      <c r="F196" s="108" t="s">
        <v>130</v>
      </c>
      <c r="G196" s="410">
        <v>2</v>
      </c>
      <c r="H196" s="411">
        <v>2</v>
      </c>
      <c r="I196" s="108"/>
      <c r="J196" s="108"/>
      <c r="K196" s="108"/>
      <c r="L196" s="108"/>
      <c r="M196" s="108"/>
      <c r="N196" s="108"/>
      <c r="O196" s="108"/>
    </row>
    <row r="197" spans="1:15" ht="12.75">
      <c r="A197" s="108"/>
      <c r="B197" s="108"/>
      <c r="C197" s="108"/>
      <c r="D197" s="108">
        <v>2</v>
      </c>
      <c r="E197" s="108">
        <v>8</v>
      </c>
      <c r="F197" s="108" t="s">
        <v>130</v>
      </c>
      <c r="G197" s="410"/>
      <c r="H197" s="412"/>
      <c r="I197" s="108"/>
      <c r="J197" s="108"/>
      <c r="K197" s="108"/>
      <c r="L197" s="108"/>
      <c r="M197" s="108"/>
      <c r="N197" s="108"/>
      <c r="O197" s="108"/>
    </row>
    <row r="198" spans="1:15" ht="12.75">
      <c r="A198" s="108"/>
      <c r="B198" s="108"/>
      <c r="C198" s="108"/>
      <c r="D198" s="108">
        <v>3</v>
      </c>
      <c r="E198" s="108">
        <v>10</v>
      </c>
      <c r="F198" s="108" t="s">
        <v>130</v>
      </c>
      <c r="G198" s="410"/>
      <c r="H198" s="412"/>
      <c r="I198" s="108"/>
      <c r="J198" s="108"/>
      <c r="K198" s="108"/>
      <c r="L198" s="108"/>
      <c r="M198" s="108"/>
      <c r="N198" s="108"/>
      <c r="O198" s="108"/>
    </row>
    <row r="199" spans="1:15" ht="12.75">
      <c r="A199" s="108"/>
      <c r="B199" s="108"/>
      <c r="C199" s="108"/>
      <c r="D199" s="108">
        <v>4</v>
      </c>
      <c r="E199" s="108">
        <v>12</v>
      </c>
      <c r="F199" s="108" t="s">
        <v>130</v>
      </c>
      <c r="G199" s="410"/>
      <c r="H199" s="413"/>
      <c r="I199" s="108"/>
      <c r="J199" s="108"/>
      <c r="K199" s="108"/>
      <c r="L199" s="108"/>
      <c r="M199" s="108"/>
      <c r="N199" s="108"/>
      <c r="O199" s="108"/>
    </row>
    <row r="201" ht="12.75">
      <c r="A201" s="107" t="s">
        <v>53</v>
      </c>
    </row>
    <row r="202" spans="1:13" ht="12.75">
      <c r="A202" s="108" t="s">
        <v>80</v>
      </c>
      <c r="B202" s="18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>
        <v>23</v>
      </c>
      <c r="M202" s="116"/>
    </row>
    <row r="203" spans="1:12" ht="12.75">
      <c r="A203" s="108">
        <v>1</v>
      </c>
      <c r="B203" s="108">
        <v>1</v>
      </c>
      <c r="C203" s="410">
        <v>6</v>
      </c>
      <c r="D203" s="410">
        <v>5</v>
      </c>
      <c r="E203" s="410">
        <v>7</v>
      </c>
      <c r="F203" s="410">
        <v>5</v>
      </c>
      <c r="G203" s="410">
        <v>1</v>
      </c>
      <c r="H203" s="410">
        <v>1</v>
      </c>
      <c r="I203" s="410">
        <v>1</v>
      </c>
      <c r="J203" s="410">
        <v>1</v>
      </c>
      <c r="K203" s="410">
        <v>1</v>
      </c>
      <c r="L203" s="410">
        <v>1</v>
      </c>
    </row>
    <row r="204" spans="1:12" ht="12.75">
      <c r="A204" s="108">
        <v>2</v>
      </c>
      <c r="B204" s="108">
        <v>1.2</v>
      </c>
      <c r="C204" s="410"/>
      <c r="D204" s="410"/>
      <c r="E204" s="410"/>
      <c r="F204" s="410"/>
      <c r="G204" s="410"/>
      <c r="H204" s="410"/>
      <c r="I204" s="410"/>
      <c r="J204" s="410"/>
      <c r="K204" s="410"/>
      <c r="L204" s="410"/>
    </row>
    <row r="205" spans="1:12" ht="12.75">
      <c r="A205" s="108">
        <v>3</v>
      </c>
      <c r="B205" s="108">
        <v>1.5</v>
      </c>
      <c r="C205" s="410"/>
      <c r="D205" s="410"/>
      <c r="E205" s="410"/>
      <c r="F205" s="410"/>
      <c r="G205" s="410"/>
      <c r="H205" s="410"/>
      <c r="I205" s="410"/>
      <c r="J205" s="410"/>
      <c r="K205" s="410"/>
      <c r="L205" s="410"/>
    </row>
    <row r="206" spans="1:12" ht="12.75">
      <c r="A206" s="108">
        <v>4</v>
      </c>
      <c r="B206" s="108">
        <v>1.2</v>
      </c>
      <c r="C206" s="410"/>
      <c r="D206" s="410"/>
      <c r="E206" s="410"/>
      <c r="F206" s="410"/>
      <c r="G206" s="410"/>
      <c r="H206" s="410"/>
      <c r="I206" s="410"/>
      <c r="J206" s="410"/>
      <c r="K206" s="410"/>
      <c r="L206" s="410"/>
    </row>
    <row r="207" spans="1:12" ht="12.75">
      <c r="A207" s="108">
        <v>5</v>
      </c>
      <c r="B207" s="108">
        <v>2</v>
      </c>
      <c r="C207" s="410"/>
      <c r="D207" s="410"/>
      <c r="E207" s="410"/>
      <c r="F207" s="410"/>
      <c r="G207" s="410"/>
      <c r="H207" s="410"/>
      <c r="I207" s="410"/>
      <c r="J207" s="410"/>
      <c r="K207" s="410"/>
      <c r="L207" s="410"/>
    </row>
    <row r="208" spans="1:12" ht="12.75">
      <c r="A208" s="108">
        <v>6</v>
      </c>
      <c r="B208" s="108">
        <v>2.2</v>
      </c>
      <c r="C208" s="410"/>
      <c r="D208" s="410"/>
      <c r="E208" s="410"/>
      <c r="F208" s="410"/>
      <c r="G208" s="410"/>
      <c r="H208" s="410"/>
      <c r="I208" s="410"/>
      <c r="J208" s="410"/>
      <c r="K208" s="410"/>
      <c r="L208" s="410"/>
    </row>
    <row r="209" spans="1:12" ht="12.75">
      <c r="A209" s="108">
        <v>7</v>
      </c>
      <c r="B209" s="108">
        <v>2.4</v>
      </c>
      <c r="C209" s="410"/>
      <c r="D209" s="410"/>
      <c r="E209" s="410"/>
      <c r="F209" s="410"/>
      <c r="G209" s="410"/>
      <c r="H209" s="410"/>
      <c r="I209" s="410"/>
      <c r="J209" s="410"/>
      <c r="K209" s="410"/>
      <c r="L209" s="410"/>
    </row>
    <row r="210" spans="1:12" ht="12.75">
      <c r="A210" s="108">
        <v>8</v>
      </c>
      <c r="B210" s="108">
        <v>2.5</v>
      </c>
      <c r="C210" s="410"/>
      <c r="D210" s="410"/>
      <c r="E210" s="410"/>
      <c r="F210" s="410"/>
      <c r="G210" s="410"/>
      <c r="H210" s="410"/>
      <c r="I210" s="410"/>
      <c r="J210" s="410"/>
      <c r="K210" s="410"/>
      <c r="L210" s="410"/>
    </row>
    <row r="211" spans="1:12" ht="12.75">
      <c r="A211" s="108">
        <v>9</v>
      </c>
      <c r="B211" s="108">
        <v>2.6</v>
      </c>
      <c r="C211" s="410"/>
      <c r="D211" s="410"/>
      <c r="E211" s="410"/>
      <c r="F211" s="410"/>
      <c r="G211" s="410"/>
      <c r="H211" s="410"/>
      <c r="I211" s="410"/>
      <c r="J211" s="410"/>
      <c r="K211" s="410"/>
      <c r="L211" s="410"/>
    </row>
    <row r="212" spans="1:12" ht="12.75">
      <c r="A212" s="108">
        <v>10</v>
      </c>
      <c r="B212" s="108">
        <v>2.8</v>
      </c>
      <c r="C212" s="410"/>
      <c r="D212" s="410"/>
      <c r="E212" s="410"/>
      <c r="F212" s="410"/>
      <c r="G212" s="410"/>
      <c r="H212" s="410"/>
      <c r="I212" s="410"/>
      <c r="J212" s="410"/>
      <c r="K212" s="410"/>
      <c r="L212" s="410"/>
    </row>
    <row r="213" spans="1:12" ht="12.75">
      <c r="A213" s="108">
        <v>11</v>
      </c>
      <c r="B213" s="108">
        <v>3</v>
      </c>
      <c r="C213" s="410"/>
      <c r="D213" s="410"/>
      <c r="E213" s="410"/>
      <c r="F213" s="410"/>
      <c r="G213" s="410"/>
      <c r="H213" s="410"/>
      <c r="I213" s="410"/>
      <c r="J213" s="410"/>
      <c r="K213" s="410"/>
      <c r="L213" s="410"/>
    </row>
    <row r="214" spans="1:12" ht="12.75">
      <c r="A214" s="108">
        <v>12</v>
      </c>
      <c r="B214" s="108">
        <v>3.2</v>
      </c>
      <c r="C214" s="410"/>
      <c r="D214" s="410"/>
      <c r="E214" s="410"/>
      <c r="F214" s="410"/>
      <c r="G214" s="410"/>
      <c r="H214" s="410"/>
      <c r="I214" s="410"/>
      <c r="J214" s="410"/>
      <c r="K214" s="410"/>
      <c r="L214" s="410"/>
    </row>
    <row r="215" spans="1:12" ht="12.75">
      <c r="A215" s="108">
        <v>13</v>
      </c>
      <c r="B215" s="108">
        <v>3.4</v>
      </c>
      <c r="C215" s="410"/>
      <c r="D215" s="410"/>
      <c r="E215" s="410"/>
      <c r="F215" s="410"/>
      <c r="G215" s="410"/>
      <c r="H215" s="410"/>
      <c r="I215" s="410"/>
      <c r="J215" s="410"/>
      <c r="K215" s="410"/>
      <c r="L215" s="410"/>
    </row>
    <row r="216" spans="1:12" ht="12.75">
      <c r="A216" s="108">
        <v>14</v>
      </c>
      <c r="B216" s="108">
        <v>3.5</v>
      </c>
      <c r="C216" s="410"/>
      <c r="D216" s="410"/>
      <c r="E216" s="410"/>
      <c r="F216" s="410"/>
      <c r="G216" s="410"/>
      <c r="H216" s="410"/>
      <c r="I216" s="410"/>
      <c r="J216" s="410"/>
      <c r="K216" s="410"/>
      <c r="L216" s="410"/>
    </row>
    <row r="217" spans="1:12" ht="12.75">
      <c r="A217" s="108">
        <v>15</v>
      </c>
      <c r="B217" s="108">
        <v>3.6</v>
      </c>
      <c r="C217" s="410"/>
      <c r="D217" s="410"/>
      <c r="E217" s="410"/>
      <c r="F217" s="410"/>
      <c r="G217" s="410"/>
      <c r="H217" s="410"/>
      <c r="I217" s="410"/>
      <c r="J217" s="410"/>
      <c r="K217" s="410"/>
      <c r="L217" s="410"/>
    </row>
    <row r="218" spans="1:12" ht="12.75">
      <c r="A218" s="108">
        <v>16</v>
      </c>
      <c r="B218" s="108">
        <v>3.8</v>
      </c>
      <c r="C218" s="410"/>
      <c r="D218" s="410"/>
      <c r="E218" s="410"/>
      <c r="F218" s="410"/>
      <c r="G218" s="410"/>
      <c r="H218" s="410"/>
      <c r="I218" s="410"/>
      <c r="J218" s="410"/>
      <c r="K218" s="410"/>
      <c r="L218" s="410"/>
    </row>
    <row r="219" spans="1:12" ht="12.75">
      <c r="A219" s="108">
        <v>17</v>
      </c>
      <c r="B219" s="108">
        <v>4</v>
      </c>
      <c r="C219" s="410"/>
      <c r="D219" s="410"/>
      <c r="E219" s="410"/>
      <c r="F219" s="410"/>
      <c r="G219" s="410"/>
      <c r="H219" s="410"/>
      <c r="I219" s="410"/>
      <c r="J219" s="410"/>
      <c r="K219" s="410"/>
      <c r="L219" s="410"/>
    </row>
    <row r="220" spans="1:12" ht="12.75">
      <c r="A220" s="108">
        <v>18</v>
      </c>
      <c r="B220" s="108">
        <v>4.2</v>
      </c>
      <c r="C220" s="410"/>
      <c r="D220" s="410"/>
      <c r="E220" s="410"/>
      <c r="F220" s="410"/>
      <c r="G220" s="410"/>
      <c r="H220" s="410"/>
      <c r="I220" s="410"/>
      <c r="J220" s="410"/>
      <c r="K220" s="410"/>
      <c r="L220" s="410"/>
    </row>
    <row r="221" spans="1:12" ht="12.75">
      <c r="A221" s="108">
        <v>19</v>
      </c>
      <c r="B221" s="108">
        <v>4.4</v>
      </c>
      <c r="C221" s="410"/>
      <c r="D221" s="410"/>
      <c r="E221" s="410"/>
      <c r="F221" s="410"/>
      <c r="G221" s="410"/>
      <c r="H221" s="410"/>
      <c r="I221" s="410"/>
      <c r="J221" s="410"/>
      <c r="K221" s="410"/>
      <c r="L221" s="410"/>
    </row>
    <row r="222" spans="1:12" ht="12.75">
      <c r="A222" s="108">
        <v>20</v>
      </c>
      <c r="B222" s="108">
        <v>4.5</v>
      </c>
      <c r="C222" s="410"/>
      <c r="D222" s="410"/>
      <c r="E222" s="410"/>
      <c r="F222" s="410"/>
      <c r="G222" s="410"/>
      <c r="H222" s="410"/>
      <c r="I222" s="410"/>
      <c r="J222" s="410"/>
      <c r="K222" s="410"/>
      <c r="L222" s="410"/>
    </row>
    <row r="223" spans="1:12" ht="12.75">
      <c r="A223" s="108">
        <v>21</v>
      </c>
      <c r="B223" s="108">
        <v>4.6</v>
      </c>
      <c r="C223" s="410"/>
      <c r="D223" s="410"/>
      <c r="E223" s="410"/>
      <c r="F223" s="410"/>
      <c r="G223" s="410"/>
      <c r="H223" s="410"/>
      <c r="I223" s="410"/>
      <c r="J223" s="410"/>
      <c r="K223" s="410"/>
      <c r="L223" s="410"/>
    </row>
    <row r="224" spans="1:12" ht="12.75">
      <c r="A224" s="108">
        <v>22</v>
      </c>
      <c r="B224" s="108">
        <v>4.8</v>
      </c>
      <c r="C224" s="410"/>
      <c r="D224" s="410"/>
      <c r="E224" s="410"/>
      <c r="F224" s="410"/>
      <c r="G224" s="410"/>
      <c r="H224" s="410"/>
      <c r="I224" s="410"/>
      <c r="J224" s="410"/>
      <c r="K224" s="410"/>
      <c r="L224" s="410"/>
    </row>
    <row r="225" spans="1:12" ht="12.75">
      <c r="A225" s="108">
        <v>23</v>
      </c>
      <c r="B225" s="108">
        <v>5</v>
      </c>
      <c r="C225" s="410"/>
      <c r="D225" s="410"/>
      <c r="E225" s="410"/>
      <c r="F225" s="410"/>
      <c r="G225" s="410"/>
      <c r="H225" s="410"/>
      <c r="I225" s="410"/>
      <c r="J225" s="410"/>
      <c r="K225" s="410"/>
      <c r="L225" s="410"/>
    </row>
    <row r="226" spans="1:12" ht="12.75">
      <c r="A226" s="108">
        <v>24</v>
      </c>
      <c r="B226" s="108">
        <v>5.2</v>
      </c>
      <c r="C226" s="410"/>
      <c r="D226" s="410"/>
      <c r="E226" s="410"/>
      <c r="F226" s="410"/>
      <c r="G226" s="410"/>
      <c r="H226" s="410"/>
      <c r="I226" s="410"/>
      <c r="J226" s="410"/>
      <c r="K226" s="410"/>
      <c r="L226" s="410"/>
    </row>
    <row r="227" spans="1:12" ht="12.75">
      <c r="A227" s="108">
        <v>25</v>
      </c>
      <c r="B227" s="108">
        <v>5.4</v>
      </c>
      <c r="C227" s="410"/>
      <c r="D227" s="410"/>
      <c r="E227" s="410"/>
      <c r="F227" s="410"/>
      <c r="G227" s="410"/>
      <c r="H227" s="410"/>
      <c r="I227" s="410"/>
      <c r="J227" s="410"/>
      <c r="K227" s="410"/>
      <c r="L227" s="410"/>
    </row>
    <row r="228" spans="1:12" ht="12.75">
      <c r="A228" s="108">
        <v>26</v>
      </c>
      <c r="B228" s="108">
        <v>5.5</v>
      </c>
      <c r="C228" s="410"/>
      <c r="D228" s="410"/>
      <c r="E228" s="410"/>
      <c r="F228" s="410"/>
      <c r="G228" s="410"/>
      <c r="H228" s="410"/>
      <c r="I228" s="410"/>
      <c r="J228" s="410"/>
      <c r="K228" s="410"/>
      <c r="L228" s="410"/>
    </row>
    <row r="229" spans="1:12" ht="12.75">
      <c r="A229" s="108">
        <v>27</v>
      </c>
      <c r="B229" s="108">
        <v>5.6</v>
      </c>
      <c r="C229" s="410"/>
      <c r="D229" s="410"/>
      <c r="E229" s="410"/>
      <c r="F229" s="410"/>
      <c r="G229" s="410"/>
      <c r="H229" s="410"/>
      <c r="I229" s="410"/>
      <c r="J229" s="410"/>
      <c r="K229" s="410"/>
      <c r="L229" s="410"/>
    </row>
    <row r="230" spans="1:12" ht="12.75">
      <c r="A230" s="108">
        <v>28</v>
      </c>
      <c r="B230" s="108">
        <v>5.8</v>
      </c>
      <c r="C230" s="410"/>
      <c r="D230" s="410"/>
      <c r="E230" s="410"/>
      <c r="F230" s="410"/>
      <c r="G230" s="410"/>
      <c r="H230" s="410"/>
      <c r="I230" s="410"/>
      <c r="J230" s="410"/>
      <c r="K230" s="410"/>
      <c r="L230" s="410"/>
    </row>
    <row r="231" spans="1:12" ht="12.75">
      <c r="A231" s="108">
        <v>29</v>
      </c>
      <c r="B231" s="108">
        <v>6</v>
      </c>
      <c r="C231" s="410"/>
      <c r="D231" s="410"/>
      <c r="E231" s="410"/>
      <c r="F231" s="410"/>
      <c r="G231" s="410"/>
      <c r="H231" s="410"/>
      <c r="I231" s="410"/>
      <c r="J231" s="410"/>
      <c r="K231" s="410"/>
      <c r="L231" s="410"/>
    </row>
    <row r="232" spans="1:12" ht="12.75">
      <c r="A232" s="108">
        <v>30</v>
      </c>
      <c r="B232" s="108">
        <v>6.2</v>
      </c>
      <c r="C232" s="410"/>
      <c r="D232" s="410"/>
      <c r="E232" s="410"/>
      <c r="F232" s="410"/>
      <c r="G232" s="410"/>
      <c r="H232" s="410"/>
      <c r="I232" s="410"/>
      <c r="J232" s="410"/>
      <c r="K232" s="410"/>
      <c r="L232" s="410"/>
    </row>
    <row r="233" spans="1:12" ht="12.75">
      <c r="A233" s="108">
        <v>31</v>
      </c>
      <c r="B233" s="108">
        <v>6.4</v>
      </c>
      <c r="C233" s="410"/>
      <c r="D233" s="410"/>
      <c r="E233" s="410"/>
      <c r="F233" s="410"/>
      <c r="G233" s="410"/>
      <c r="H233" s="410"/>
      <c r="I233" s="410"/>
      <c r="J233" s="410"/>
      <c r="K233" s="410"/>
      <c r="L233" s="410"/>
    </row>
    <row r="234" spans="1:12" ht="12.75">
      <c r="A234" s="108">
        <v>32</v>
      </c>
      <c r="B234" s="108">
        <v>6.5</v>
      </c>
      <c r="C234" s="410"/>
      <c r="D234" s="410"/>
      <c r="E234" s="410"/>
      <c r="F234" s="410"/>
      <c r="G234" s="410"/>
      <c r="H234" s="410"/>
      <c r="I234" s="410"/>
      <c r="J234" s="410"/>
      <c r="K234" s="410"/>
      <c r="L234" s="410"/>
    </row>
    <row r="235" spans="1:12" ht="12.75">
      <c r="A235" s="108">
        <v>33</v>
      </c>
      <c r="B235" s="108">
        <v>6.6</v>
      </c>
      <c r="C235" s="410"/>
      <c r="D235" s="410"/>
      <c r="E235" s="410"/>
      <c r="F235" s="410"/>
      <c r="G235" s="410"/>
      <c r="H235" s="410"/>
      <c r="I235" s="410"/>
      <c r="J235" s="410"/>
      <c r="K235" s="410"/>
      <c r="L235" s="410"/>
    </row>
    <row r="236" spans="1:12" ht="12.75">
      <c r="A236" s="108">
        <v>34</v>
      </c>
      <c r="B236" s="108">
        <v>6.8</v>
      </c>
      <c r="C236" s="410"/>
      <c r="D236" s="410"/>
      <c r="E236" s="410"/>
      <c r="F236" s="410"/>
      <c r="G236" s="410"/>
      <c r="H236" s="410"/>
      <c r="I236" s="410"/>
      <c r="J236" s="410"/>
      <c r="K236" s="410"/>
      <c r="L236" s="410"/>
    </row>
    <row r="237" spans="1:12" ht="12.75">
      <c r="A237" s="108">
        <v>35</v>
      </c>
      <c r="B237" s="108">
        <v>7</v>
      </c>
      <c r="C237" s="410"/>
      <c r="D237" s="410"/>
      <c r="E237" s="410"/>
      <c r="F237" s="410"/>
      <c r="G237" s="410"/>
      <c r="H237" s="410"/>
      <c r="I237" s="410"/>
      <c r="J237" s="410"/>
      <c r="K237" s="410"/>
      <c r="L237" s="410"/>
    </row>
    <row r="238" spans="1:12" ht="12.75">
      <c r="A238" s="108">
        <v>36</v>
      </c>
      <c r="B238" s="108">
        <v>7.2</v>
      </c>
      <c r="C238" s="410"/>
      <c r="D238" s="410"/>
      <c r="E238" s="410"/>
      <c r="F238" s="410"/>
      <c r="G238" s="410"/>
      <c r="H238" s="410"/>
      <c r="I238" s="410"/>
      <c r="J238" s="410"/>
      <c r="K238" s="410"/>
      <c r="L238" s="410"/>
    </row>
    <row r="239" spans="1:12" ht="12.75">
      <c r="A239" s="108">
        <v>37</v>
      </c>
      <c r="B239" s="108">
        <v>7.4</v>
      </c>
      <c r="C239" s="410"/>
      <c r="D239" s="410"/>
      <c r="E239" s="410"/>
      <c r="F239" s="410"/>
      <c r="G239" s="410"/>
      <c r="H239" s="410"/>
      <c r="I239" s="410"/>
      <c r="J239" s="410"/>
      <c r="K239" s="410"/>
      <c r="L239" s="410"/>
    </row>
    <row r="240" spans="1:12" ht="12.75">
      <c r="A240" s="108">
        <v>38</v>
      </c>
      <c r="B240" s="108">
        <v>7.5</v>
      </c>
      <c r="C240" s="410"/>
      <c r="D240" s="410"/>
      <c r="E240" s="410"/>
      <c r="F240" s="410"/>
      <c r="G240" s="410"/>
      <c r="H240" s="410"/>
      <c r="I240" s="410"/>
      <c r="J240" s="410"/>
      <c r="K240" s="410"/>
      <c r="L240" s="410"/>
    </row>
    <row r="241" spans="1:12" ht="12.75">
      <c r="A241" s="108">
        <v>39</v>
      </c>
      <c r="B241" s="108">
        <v>7.6</v>
      </c>
      <c r="C241" s="410"/>
      <c r="D241" s="410"/>
      <c r="E241" s="410"/>
      <c r="F241" s="410"/>
      <c r="G241" s="410"/>
      <c r="H241" s="410"/>
      <c r="I241" s="410"/>
      <c r="J241" s="410"/>
      <c r="K241" s="410"/>
      <c r="L241" s="410"/>
    </row>
    <row r="242" spans="1:12" ht="12.75">
      <c r="A242" s="108">
        <v>40</v>
      </c>
      <c r="B242" s="108">
        <v>7.8</v>
      </c>
      <c r="C242" s="410"/>
      <c r="D242" s="410"/>
      <c r="E242" s="410"/>
      <c r="F242" s="410"/>
      <c r="G242" s="410"/>
      <c r="H242" s="410"/>
      <c r="I242" s="410"/>
      <c r="J242" s="410"/>
      <c r="K242" s="410"/>
      <c r="L242" s="410"/>
    </row>
    <row r="243" spans="1:12" ht="12.75">
      <c r="A243" s="108">
        <v>41</v>
      </c>
      <c r="B243" s="108">
        <v>8</v>
      </c>
      <c r="C243" s="410"/>
      <c r="D243" s="410"/>
      <c r="E243" s="410"/>
      <c r="F243" s="410"/>
      <c r="G243" s="410"/>
      <c r="H243" s="410"/>
      <c r="I243" s="410"/>
      <c r="J243" s="410"/>
      <c r="K243" s="410"/>
      <c r="L243" s="410"/>
    </row>
    <row r="244" spans="1:12" ht="12.75">
      <c r="A244" s="108">
        <v>42</v>
      </c>
      <c r="B244" s="108">
        <v>8.2</v>
      </c>
      <c r="C244" s="410"/>
      <c r="D244" s="410"/>
      <c r="E244" s="410"/>
      <c r="F244" s="410"/>
      <c r="G244" s="410"/>
      <c r="H244" s="410"/>
      <c r="I244" s="410"/>
      <c r="J244" s="410"/>
      <c r="K244" s="410"/>
      <c r="L244" s="410"/>
    </row>
    <row r="245" spans="1:12" ht="12.75">
      <c r="A245" s="108">
        <v>43</v>
      </c>
      <c r="B245" s="108">
        <v>8.4</v>
      </c>
      <c r="C245" s="410"/>
      <c r="D245" s="410"/>
      <c r="E245" s="410"/>
      <c r="F245" s="410"/>
      <c r="G245" s="410"/>
      <c r="H245" s="410"/>
      <c r="I245" s="410"/>
      <c r="J245" s="410"/>
      <c r="K245" s="410"/>
      <c r="L245" s="410"/>
    </row>
    <row r="246" spans="1:12" ht="12.75">
      <c r="A246" s="108">
        <v>44</v>
      </c>
      <c r="B246" s="108">
        <v>8.5</v>
      </c>
      <c r="C246" s="410"/>
      <c r="D246" s="410"/>
      <c r="E246" s="410"/>
      <c r="F246" s="410"/>
      <c r="G246" s="410"/>
      <c r="H246" s="410"/>
      <c r="I246" s="410"/>
      <c r="J246" s="410"/>
      <c r="K246" s="410"/>
      <c r="L246" s="410"/>
    </row>
    <row r="247" spans="1:12" ht="12.75">
      <c r="A247" s="108">
        <v>45</v>
      </c>
      <c r="B247" s="108">
        <v>8.6</v>
      </c>
      <c r="C247" s="410"/>
      <c r="D247" s="410"/>
      <c r="E247" s="410"/>
      <c r="F247" s="410"/>
      <c r="G247" s="410"/>
      <c r="H247" s="410"/>
      <c r="I247" s="410"/>
      <c r="J247" s="410"/>
      <c r="K247" s="410"/>
      <c r="L247" s="410"/>
    </row>
    <row r="248" spans="1:12" ht="12.75">
      <c r="A248" s="108">
        <v>46</v>
      </c>
      <c r="B248" s="108">
        <v>8.8</v>
      </c>
      <c r="C248" s="410"/>
      <c r="D248" s="410"/>
      <c r="E248" s="410"/>
      <c r="F248" s="410"/>
      <c r="G248" s="410"/>
      <c r="H248" s="410"/>
      <c r="I248" s="410"/>
      <c r="J248" s="410"/>
      <c r="K248" s="410"/>
      <c r="L248" s="410"/>
    </row>
    <row r="249" spans="1:12" ht="12.75">
      <c r="A249" s="108">
        <v>47</v>
      </c>
      <c r="B249" s="108">
        <v>10</v>
      </c>
      <c r="C249" s="410"/>
      <c r="D249" s="410"/>
      <c r="E249" s="410"/>
      <c r="F249" s="410"/>
      <c r="G249" s="410"/>
      <c r="H249" s="410"/>
      <c r="I249" s="410"/>
      <c r="J249" s="410"/>
      <c r="K249" s="410"/>
      <c r="L249" s="410"/>
    </row>
    <row r="250" ht="12.75">
      <c r="H250" s="179"/>
    </row>
    <row r="253" spans="2:6" ht="12.75">
      <c r="B253" s="107" t="s">
        <v>87</v>
      </c>
      <c r="F253" s="107" t="s">
        <v>88</v>
      </c>
    </row>
    <row r="254" spans="1:11" ht="12.75">
      <c r="A254" s="108">
        <v>1</v>
      </c>
      <c r="B254" s="108">
        <v>0.2</v>
      </c>
      <c r="C254" s="410">
        <v>3</v>
      </c>
      <c r="E254" s="108">
        <v>1</v>
      </c>
      <c r="F254" s="180">
        <v>0.018</v>
      </c>
      <c r="G254" s="411">
        <v>1</v>
      </c>
      <c r="I254" s="107" t="s">
        <v>276</v>
      </c>
      <c r="J254" s="108" t="s">
        <v>145</v>
      </c>
      <c r="K254" s="186"/>
    </row>
    <row r="255" spans="1:15" ht="12.75">
      <c r="A255" s="108">
        <v>2</v>
      </c>
      <c r="B255" s="108">
        <v>0.25</v>
      </c>
      <c r="C255" s="410"/>
      <c r="E255" s="108">
        <v>2</v>
      </c>
      <c r="F255" s="180">
        <v>0.02</v>
      </c>
      <c r="G255" s="412"/>
      <c r="I255" s="108">
        <v>1</v>
      </c>
      <c r="J255" s="108">
        <v>330</v>
      </c>
      <c r="K255" s="410">
        <v>15</v>
      </c>
      <c r="L255" s="410">
        <v>15</v>
      </c>
      <c r="M255" s="410">
        <v>3</v>
      </c>
      <c r="N255" s="411">
        <v>15</v>
      </c>
      <c r="O255" s="410">
        <v>7</v>
      </c>
    </row>
    <row r="256" spans="1:15" ht="12.75">
      <c r="A256" s="108">
        <v>3</v>
      </c>
      <c r="B256" s="108">
        <v>0.3</v>
      </c>
      <c r="C256" s="410"/>
      <c r="E256" s="108">
        <v>3</v>
      </c>
      <c r="F256" s="180">
        <v>0.025</v>
      </c>
      <c r="G256" s="412"/>
      <c r="I256" s="108">
        <v>2</v>
      </c>
      <c r="J256" s="108">
        <v>340</v>
      </c>
      <c r="K256" s="410"/>
      <c r="L256" s="410"/>
      <c r="M256" s="410"/>
      <c r="N256" s="412"/>
      <c r="O256" s="410"/>
    </row>
    <row r="257" spans="1:15" ht="12.75">
      <c r="A257" s="108">
        <v>4</v>
      </c>
      <c r="B257" s="108">
        <v>0.35</v>
      </c>
      <c r="C257" s="410"/>
      <c r="E257" s="108">
        <v>4</v>
      </c>
      <c r="F257" s="180">
        <v>0.03</v>
      </c>
      <c r="G257" s="412"/>
      <c r="I257" s="108">
        <v>3</v>
      </c>
      <c r="J257" s="108">
        <v>350</v>
      </c>
      <c r="K257" s="410"/>
      <c r="L257" s="410"/>
      <c r="M257" s="410"/>
      <c r="N257" s="412"/>
      <c r="O257" s="410"/>
    </row>
    <row r="258" spans="1:15" ht="12.75">
      <c r="A258" s="108">
        <v>5</v>
      </c>
      <c r="B258" s="108">
        <v>0.4</v>
      </c>
      <c r="C258" s="410"/>
      <c r="E258" s="108">
        <v>5</v>
      </c>
      <c r="F258" s="180">
        <v>0.035</v>
      </c>
      <c r="G258" s="412"/>
      <c r="I258" s="108">
        <v>4</v>
      </c>
      <c r="J258" s="108">
        <v>360</v>
      </c>
      <c r="K258" s="410"/>
      <c r="L258" s="410"/>
      <c r="M258" s="410"/>
      <c r="N258" s="412"/>
      <c r="O258" s="410"/>
    </row>
    <row r="259" spans="1:15" ht="12.75">
      <c r="A259" s="108">
        <v>6</v>
      </c>
      <c r="B259" s="108">
        <v>0.5</v>
      </c>
      <c r="C259" s="410"/>
      <c r="E259" s="108">
        <v>6</v>
      </c>
      <c r="F259" s="180">
        <v>0.04</v>
      </c>
      <c r="G259" s="412"/>
      <c r="I259" s="108">
        <v>5</v>
      </c>
      <c r="J259" s="108">
        <v>370</v>
      </c>
      <c r="K259" s="410"/>
      <c r="L259" s="410"/>
      <c r="M259" s="410"/>
      <c r="N259" s="412"/>
      <c r="O259" s="410"/>
    </row>
    <row r="260" spans="1:15" ht="12.75">
      <c r="A260" s="108">
        <v>7</v>
      </c>
      <c r="B260" s="108">
        <v>0.6</v>
      </c>
      <c r="C260" s="410"/>
      <c r="E260" s="108">
        <v>7</v>
      </c>
      <c r="F260" s="180">
        <v>0.05</v>
      </c>
      <c r="G260" s="413"/>
      <c r="I260" s="108">
        <v>6</v>
      </c>
      <c r="J260" s="108">
        <v>380</v>
      </c>
      <c r="K260" s="410"/>
      <c r="L260" s="410"/>
      <c r="M260" s="410"/>
      <c r="N260" s="412"/>
      <c r="O260" s="410"/>
    </row>
    <row r="261" spans="1:15" ht="12.75">
      <c r="A261" s="108">
        <v>8</v>
      </c>
      <c r="B261" s="108">
        <v>0.8</v>
      </c>
      <c r="C261" s="410"/>
      <c r="I261" s="108">
        <v>7</v>
      </c>
      <c r="J261" s="108">
        <v>390</v>
      </c>
      <c r="K261" s="410"/>
      <c r="L261" s="410"/>
      <c r="M261" s="410"/>
      <c r="N261" s="412"/>
      <c r="O261" s="410"/>
    </row>
    <row r="262" spans="1:15" ht="12.75">
      <c r="A262" s="108">
        <v>9</v>
      </c>
      <c r="B262" s="108">
        <v>1</v>
      </c>
      <c r="C262" s="410"/>
      <c r="I262" s="108">
        <v>8</v>
      </c>
      <c r="J262" s="108">
        <v>400</v>
      </c>
      <c r="K262" s="410"/>
      <c r="L262" s="410"/>
      <c r="M262" s="410"/>
      <c r="N262" s="412"/>
      <c r="O262" s="410"/>
    </row>
    <row r="263" spans="9:15" ht="12.75">
      <c r="I263" s="108">
        <v>9</v>
      </c>
      <c r="J263" s="108">
        <v>450</v>
      </c>
      <c r="K263" s="410"/>
      <c r="L263" s="410"/>
      <c r="M263" s="410"/>
      <c r="N263" s="412"/>
      <c r="O263" s="410"/>
    </row>
    <row r="264" spans="2:15" ht="12.75">
      <c r="B264" s="107" t="s">
        <v>262</v>
      </c>
      <c r="G264" s="107" t="s">
        <v>263</v>
      </c>
      <c r="I264" s="108">
        <v>10</v>
      </c>
      <c r="J264" s="108">
        <v>500</v>
      </c>
      <c r="K264" s="410"/>
      <c r="L264" s="410"/>
      <c r="M264" s="410"/>
      <c r="N264" s="412"/>
      <c r="O264" s="410"/>
    </row>
    <row r="265" spans="1:15" ht="12.75">
      <c r="A265" s="108">
        <v>1</v>
      </c>
      <c r="B265" s="108">
        <v>0.04</v>
      </c>
      <c r="C265" s="411">
        <v>2</v>
      </c>
      <c r="F265" s="108">
        <v>1</v>
      </c>
      <c r="G265" s="108">
        <v>0.04</v>
      </c>
      <c r="H265" s="422">
        <v>6</v>
      </c>
      <c r="I265" s="108">
        <v>11</v>
      </c>
      <c r="J265" s="108">
        <v>550</v>
      </c>
      <c r="K265" s="410"/>
      <c r="L265" s="410"/>
      <c r="M265" s="410"/>
      <c r="N265" s="412"/>
      <c r="O265" s="410"/>
    </row>
    <row r="266" spans="1:15" ht="12.75">
      <c r="A266" s="108">
        <v>2</v>
      </c>
      <c r="B266" s="108">
        <v>0.05</v>
      </c>
      <c r="C266" s="412"/>
      <c r="F266" s="108">
        <v>2</v>
      </c>
      <c r="G266" s="108">
        <v>0.05</v>
      </c>
      <c r="H266" s="423"/>
      <c r="I266" s="108">
        <v>12</v>
      </c>
      <c r="J266" s="108">
        <v>600</v>
      </c>
      <c r="K266" s="410"/>
      <c r="L266" s="410"/>
      <c r="M266" s="410"/>
      <c r="N266" s="412"/>
      <c r="O266" s="410"/>
    </row>
    <row r="267" spans="1:15" ht="12.75">
      <c r="A267" s="108">
        <v>3</v>
      </c>
      <c r="B267" s="108">
        <v>0.06</v>
      </c>
      <c r="C267" s="412"/>
      <c r="F267" s="108">
        <v>3</v>
      </c>
      <c r="G267" s="108">
        <v>0.06</v>
      </c>
      <c r="H267" s="423"/>
      <c r="I267" s="108">
        <v>13</v>
      </c>
      <c r="J267" s="108">
        <v>650</v>
      </c>
      <c r="K267" s="410"/>
      <c r="L267" s="410"/>
      <c r="M267" s="410"/>
      <c r="N267" s="412"/>
      <c r="O267" s="410"/>
    </row>
    <row r="268" spans="1:15" ht="12.75">
      <c r="A268" s="108">
        <v>4</v>
      </c>
      <c r="B268" s="108">
        <v>0.07</v>
      </c>
      <c r="C268" s="412"/>
      <c r="F268" s="108">
        <v>4</v>
      </c>
      <c r="G268" s="108">
        <v>0.07</v>
      </c>
      <c r="H268" s="423"/>
      <c r="I268" s="108">
        <v>14</v>
      </c>
      <c r="J268" s="108">
        <v>750</v>
      </c>
      <c r="K268" s="410"/>
      <c r="L268" s="410"/>
      <c r="M268" s="410"/>
      <c r="N268" s="412"/>
      <c r="O268" s="410"/>
    </row>
    <row r="269" spans="1:15" ht="12.75">
      <c r="A269" s="108">
        <v>5</v>
      </c>
      <c r="B269" s="108">
        <v>0.1</v>
      </c>
      <c r="C269" s="412"/>
      <c r="F269" s="108">
        <v>5</v>
      </c>
      <c r="G269" s="108">
        <v>0.08</v>
      </c>
      <c r="H269" s="423"/>
      <c r="I269" s="108">
        <v>15</v>
      </c>
      <c r="J269" s="108">
        <v>800</v>
      </c>
      <c r="K269" s="410"/>
      <c r="L269" s="410"/>
      <c r="M269" s="410"/>
      <c r="N269" s="413"/>
      <c r="O269" s="410"/>
    </row>
    <row r="270" spans="1:13" ht="12.75">
      <c r="A270" s="108">
        <v>6</v>
      </c>
      <c r="B270" s="108">
        <v>0.12</v>
      </c>
      <c r="C270" s="412"/>
      <c r="F270" s="108">
        <v>6</v>
      </c>
      <c r="G270" s="108">
        <v>0.1</v>
      </c>
      <c r="H270" s="423"/>
      <c r="K270" s="111"/>
      <c r="L270" s="111"/>
      <c r="M270" s="111"/>
    </row>
    <row r="271" spans="1:8" ht="12.75">
      <c r="A271" s="108">
        <v>7</v>
      </c>
      <c r="B271" s="108">
        <v>0.14</v>
      </c>
      <c r="C271" s="413"/>
      <c r="F271" s="108">
        <v>7</v>
      </c>
      <c r="G271" s="108">
        <v>0.12</v>
      </c>
      <c r="H271" s="423"/>
    </row>
    <row r="272" spans="6:8" ht="12.75">
      <c r="F272" s="108">
        <v>8</v>
      </c>
      <c r="G272" s="108">
        <v>0.14</v>
      </c>
      <c r="H272" s="412"/>
    </row>
    <row r="273" spans="6:8" ht="12.75">
      <c r="F273" s="108">
        <v>9</v>
      </c>
      <c r="G273" s="108">
        <v>0.2</v>
      </c>
      <c r="H273" s="413"/>
    </row>
    <row r="275" spans="1:7" ht="12.75">
      <c r="A275" s="107" t="s">
        <v>148</v>
      </c>
      <c r="B275" s="107" t="s">
        <v>264</v>
      </c>
      <c r="F275" s="107" t="s">
        <v>216</v>
      </c>
      <c r="G275" s="107" t="s">
        <v>264</v>
      </c>
    </row>
    <row r="276" spans="1:8" ht="12.75">
      <c r="A276" s="108">
        <v>1</v>
      </c>
      <c r="B276" s="108">
        <v>0.05</v>
      </c>
      <c r="C276" s="410">
        <v>2</v>
      </c>
      <c r="F276" s="108">
        <v>1</v>
      </c>
      <c r="G276" s="108">
        <v>0.05</v>
      </c>
      <c r="H276" s="411">
        <v>5</v>
      </c>
    </row>
    <row r="277" spans="1:8" ht="12.75">
      <c r="A277" s="108">
        <v>2</v>
      </c>
      <c r="B277" s="108">
        <v>0.06</v>
      </c>
      <c r="C277" s="410"/>
      <c r="F277" s="108">
        <v>2</v>
      </c>
      <c r="G277" s="108">
        <v>0.06</v>
      </c>
      <c r="H277" s="412"/>
    </row>
    <row r="278" spans="1:8" ht="12.75">
      <c r="A278" s="108">
        <v>3</v>
      </c>
      <c r="B278" s="108">
        <v>0.07</v>
      </c>
      <c r="C278" s="410"/>
      <c r="F278" s="108">
        <v>3</v>
      </c>
      <c r="G278" s="108">
        <v>0.07</v>
      </c>
      <c r="H278" s="412"/>
    </row>
    <row r="279" spans="1:8" ht="12.75">
      <c r="A279" s="108">
        <v>4</v>
      </c>
      <c r="B279" s="108">
        <v>0.1</v>
      </c>
      <c r="C279" s="410"/>
      <c r="F279" s="108">
        <v>4</v>
      </c>
      <c r="G279" s="108">
        <v>0.1</v>
      </c>
      <c r="H279" s="412"/>
    </row>
    <row r="280" spans="1:8" ht="12.75">
      <c r="A280" s="108">
        <v>5</v>
      </c>
      <c r="B280" s="108">
        <v>0.2</v>
      </c>
      <c r="C280" s="410"/>
      <c r="F280" s="108">
        <v>5</v>
      </c>
      <c r="G280" s="108">
        <v>0.12</v>
      </c>
      <c r="H280" s="412"/>
    </row>
    <row r="281" spans="1:8" ht="12.75">
      <c r="A281" s="414" t="s">
        <v>265</v>
      </c>
      <c r="B281" s="414"/>
      <c r="F281" s="108">
        <v>6</v>
      </c>
      <c r="G281" s="108">
        <v>0.14</v>
      </c>
      <c r="H281" s="412"/>
    </row>
    <row r="282" spans="1:8" ht="12.75">
      <c r="A282" s="108">
        <v>1</v>
      </c>
      <c r="B282" s="108">
        <v>0.08</v>
      </c>
      <c r="C282" s="423">
        <v>1</v>
      </c>
      <c r="F282" s="108">
        <v>7</v>
      </c>
      <c r="G282" s="108">
        <v>0.2</v>
      </c>
      <c r="H282" s="412"/>
    </row>
    <row r="283" spans="1:8" ht="12.75">
      <c r="A283" s="108">
        <v>2</v>
      </c>
      <c r="B283" s="108">
        <v>0.1</v>
      </c>
      <c r="C283" s="423"/>
      <c r="F283" s="108">
        <v>8</v>
      </c>
      <c r="G283" s="108">
        <v>0.02</v>
      </c>
      <c r="H283" s="413"/>
    </row>
    <row r="284" spans="1:3" ht="12.75">
      <c r="A284" s="108">
        <v>3</v>
      </c>
      <c r="B284" s="108">
        <v>0.12</v>
      </c>
      <c r="C284" s="423"/>
    </row>
    <row r="285" spans="1:9" ht="12.75">
      <c r="A285" s="108">
        <v>4</v>
      </c>
      <c r="B285" s="108">
        <v>0.14</v>
      </c>
      <c r="C285" s="423"/>
      <c r="I285" s="107" t="s">
        <v>332</v>
      </c>
    </row>
    <row r="286" spans="1:11" ht="12.75">
      <c r="A286" s="108">
        <v>5</v>
      </c>
      <c r="B286" s="108">
        <v>0.16</v>
      </c>
      <c r="C286" s="423"/>
      <c r="I286" s="157">
        <v>1</v>
      </c>
      <c r="J286" s="176">
        <v>2</v>
      </c>
      <c r="K286" s="411">
        <v>1</v>
      </c>
    </row>
    <row r="287" spans="1:11" ht="12.75">
      <c r="A287" s="414" t="s">
        <v>293</v>
      </c>
      <c r="B287" s="414"/>
      <c r="I287" s="157">
        <v>2</v>
      </c>
      <c r="J287" s="108">
        <v>2.2</v>
      </c>
      <c r="K287" s="412"/>
    </row>
    <row r="288" spans="1:11" ht="12.75">
      <c r="A288" s="108">
        <v>1</v>
      </c>
      <c r="B288" s="108">
        <v>67</v>
      </c>
      <c r="C288" s="411">
        <v>5</v>
      </c>
      <c r="D288" s="411">
        <v>5</v>
      </c>
      <c r="E288" s="411">
        <v>1</v>
      </c>
      <c r="F288" s="410">
        <v>5</v>
      </c>
      <c r="I288" s="157">
        <v>3</v>
      </c>
      <c r="J288" s="108">
        <v>2.3</v>
      </c>
      <c r="K288" s="412"/>
    </row>
    <row r="289" spans="1:11" ht="12.75">
      <c r="A289" s="108">
        <v>2</v>
      </c>
      <c r="B289" s="108">
        <v>70</v>
      </c>
      <c r="C289" s="412"/>
      <c r="D289" s="412"/>
      <c r="E289" s="412"/>
      <c r="F289" s="410"/>
      <c r="I289" s="157">
        <v>4</v>
      </c>
      <c r="J289" s="108">
        <v>2.4</v>
      </c>
      <c r="K289" s="412"/>
    </row>
    <row r="290" spans="1:11" ht="12.75">
      <c r="A290" s="108">
        <v>3</v>
      </c>
      <c r="B290" s="108">
        <v>80</v>
      </c>
      <c r="C290" s="412"/>
      <c r="D290" s="412"/>
      <c r="E290" s="412"/>
      <c r="F290" s="410"/>
      <c r="I290" s="157">
        <v>5</v>
      </c>
      <c r="J290" s="108">
        <v>2.5</v>
      </c>
      <c r="K290" s="412"/>
    </row>
    <row r="291" spans="1:11" ht="12.75">
      <c r="A291" s="108">
        <v>4</v>
      </c>
      <c r="B291" s="108">
        <v>90</v>
      </c>
      <c r="C291" s="412"/>
      <c r="D291" s="412"/>
      <c r="E291" s="412"/>
      <c r="F291" s="410"/>
      <c r="I291" s="157">
        <v>6</v>
      </c>
      <c r="J291" s="108">
        <v>2.6</v>
      </c>
      <c r="K291" s="412"/>
    </row>
    <row r="292" spans="1:11" ht="12.75">
      <c r="A292" s="108">
        <v>5</v>
      </c>
      <c r="B292" s="108">
        <v>98</v>
      </c>
      <c r="C292" s="412"/>
      <c r="D292" s="412"/>
      <c r="E292" s="412"/>
      <c r="F292" s="410"/>
      <c r="I292" s="157">
        <v>7</v>
      </c>
      <c r="J292" s="108">
        <v>2.7</v>
      </c>
      <c r="K292" s="412"/>
    </row>
    <row r="293" spans="1:11" ht="12.75">
      <c r="A293" s="108">
        <v>6</v>
      </c>
      <c r="B293" s="108">
        <v>100</v>
      </c>
      <c r="C293" s="413"/>
      <c r="D293" s="413"/>
      <c r="E293" s="413"/>
      <c r="F293" s="410"/>
      <c r="I293" s="157">
        <v>8</v>
      </c>
      <c r="J293" s="108">
        <v>2.8</v>
      </c>
      <c r="K293" s="412"/>
    </row>
    <row r="294" spans="9:11" ht="12.75">
      <c r="I294" s="157">
        <v>9</v>
      </c>
      <c r="J294" s="176">
        <v>2.9</v>
      </c>
      <c r="K294" s="412"/>
    </row>
    <row r="295" spans="1:11" ht="12.75">
      <c r="A295" s="107" t="s">
        <v>295</v>
      </c>
      <c r="E295" s="425" t="s">
        <v>298</v>
      </c>
      <c r="F295" s="425"/>
      <c r="G295" s="425"/>
      <c r="I295" s="157">
        <v>10</v>
      </c>
      <c r="J295" s="176">
        <v>3</v>
      </c>
      <c r="K295" s="412"/>
    </row>
    <row r="296" spans="1:11" ht="12.75">
      <c r="A296" s="108">
        <v>1</v>
      </c>
      <c r="B296" s="108">
        <v>0.1</v>
      </c>
      <c r="C296" s="411">
        <v>4</v>
      </c>
      <c r="E296" s="115">
        <v>1</v>
      </c>
      <c r="F296" s="115">
        <v>100</v>
      </c>
      <c r="G296" s="411">
        <v>1</v>
      </c>
      <c r="I296" s="157">
        <v>11</v>
      </c>
      <c r="J296" s="108">
        <v>3.1</v>
      </c>
      <c r="K296" s="412"/>
    </row>
    <row r="297" spans="1:11" ht="12.75">
      <c r="A297" s="108">
        <v>2</v>
      </c>
      <c r="B297" s="108">
        <v>0.2</v>
      </c>
      <c r="C297" s="412"/>
      <c r="E297" s="115">
        <v>2</v>
      </c>
      <c r="F297" s="115">
        <v>150</v>
      </c>
      <c r="G297" s="412"/>
      <c r="I297" s="157">
        <v>12</v>
      </c>
      <c r="J297" s="108">
        <v>3.2</v>
      </c>
      <c r="K297" s="412"/>
    </row>
    <row r="298" spans="1:11" ht="12.75">
      <c r="A298" s="108">
        <v>3</v>
      </c>
      <c r="B298" s="108">
        <v>0.25</v>
      </c>
      <c r="C298" s="412"/>
      <c r="E298" s="115">
        <v>3</v>
      </c>
      <c r="F298" s="115">
        <v>200</v>
      </c>
      <c r="G298" s="412"/>
      <c r="I298" s="157">
        <v>13</v>
      </c>
      <c r="J298" s="108">
        <v>3.3</v>
      </c>
      <c r="K298" s="412"/>
    </row>
    <row r="299" spans="1:11" ht="12.75">
      <c r="A299" s="108">
        <v>4</v>
      </c>
      <c r="B299" s="108">
        <v>0.3</v>
      </c>
      <c r="C299" s="412"/>
      <c r="E299" s="115">
        <v>4</v>
      </c>
      <c r="F299" s="115">
        <v>300</v>
      </c>
      <c r="G299" s="413"/>
      <c r="I299" s="157">
        <v>14</v>
      </c>
      <c r="J299" s="108">
        <v>3.4</v>
      </c>
      <c r="K299" s="412"/>
    </row>
    <row r="300" spans="1:11" ht="12.75">
      <c r="A300" s="108">
        <v>5</v>
      </c>
      <c r="B300" s="108">
        <v>0.35</v>
      </c>
      <c r="C300" s="412"/>
      <c r="I300" s="157">
        <v>15</v>
      </c>
      <c r="J300" s="108">
        <v>3.5</v>
      </c>
      <c r="K300" s="412"/>
    </row>
    <row r="301" spans="1:11" ht="12.75">
      <c r="A301" s="108">
        <v>6</v>
      </c>
      <c r="B301" s="108">
        <v>0.4</v>
      </c>
      <c r="C301" s="412"/>
      <c r="I301" s="157">
        <v>16</v>
      </c>
      <c r="J301" s="108">
        <v>3.6</v>
      </c>
      <c r="K301" s="412"/>
    </row>
    <row r="302" spans="1:11" ht="12.75">
      <c r="A302" s="108">
        <v>7</v>
      </c>
      <c r="B302" s="108">
        <v>0.45</v>
      </c>
      <c r="C302" s="412"/>
      <c r="G302" s="424"/>
      <c r="I302" s="157">
        <v>17</v>
      </c>
      <c r="J302" s="108">
        <v>3.7</v>
      </c>
      <c r="K302" s="412"/>
    </row>
    <row r="303" spans="1:11" ht="12.75">
      <c r="A303" s="108">
        <v>8</v>
      </c>
      <c r="B303" s="108">
        <v>0.5</v>
      </c>
      <c r="C303" s="412"/>
      <c r="G303" s="424"/>
      <c r="I303" s="157">
        <v>18</v>
      </c>
      <c r="J303" s="108">
        <v>3.8</v>
      </c>
      <c r="K303" s="412"/>
    </row>
    <row r="304" spans="1:11" ht="12.75">
      <c r="A304" s="108">
        <v>9</v>
      </c>
      <c r="B304" s="108">
        <v>0.55</v>
      </c>
      <c r="C304" s="412"/>
      <c r="G304" s="424"/>
      <c r="I304" s="157">
        <v>19</v>
      </c>
      <c r="J304" s="108">
        <v>3.9</v>
      </c>
      <c r="K304" s="412"/>
    </row>
    <row r="305" spans="1:11" ht="12.75">
      <c r="A305" s="108">
        <v>10</v>
      </c>
      <c r="B305" s="108">
        <v>0.6</v>
      </c>
      <c r="C305" s="412"/>
      <c r="G305" s="424"/>
      <c r="I305" s="157">
        <v>20</v>
      </c>
      <c r="J305" s="108">
        <v>4</v>
      </c>
      <c r="K305" s="413"/>
    </row>
    <row r="306" spans="1:3" ht="12.75">
      <c r="A306" s="108">
        <v>11</v>
      </c>
      <c r="B306" s="108">
        <v>0.7</v>
      </c>
      <c r="C306" s="412"/>
    </row>
    <row r="307" spans="1:3" ht="12.75">
      <c r="A307" s="108">
        <v>12</v>
      </c>
      <c r="B307" s="108">
        <v>0.75</v>
      </c>
      <c r="C307" s="412"/>
    </row>
    <row r="308" spans="1:3" ht="12.75">
      <c r="A308" s="108">
        <v>13</v>
      </c>
      <c r="B308" s="108">
        <v>0.8</v>
      </c>
      <c r="C308" s="412"/>
    </row>
    <row r="309" spans="1:3" ht="12.75">
      <c r="A309" s="108">
        <v>14</v>
      </c>
      <c r="B309" s="108">
        <v>1</v>
      </c>
      <c r="C309" s="412"/>
    </row>
    <row r="310" spans="1:3" ht="12.75">
      <c r="A310" s="108">
        <v>15</v>
      </c>
      <c r="B310" s="108">
        <v>1.2</v>
      </c>
      <c r="C310" s="412"/>
    </row>
    <row r="311" spans="1:3" ht="12.75">
      <c r="A311" s="108">
        <v>16</v>
      </c>
      <c r="B311" s="108">
        <v>1.4</v>
      </c>
      <c r="C311" s="412"/>
    </row>
    <row r="312" spans="1:3" ht="12.75">
      <c r="A312" s="108">
        <v>17</v>
      </c>
      <c r="B312" s="108">
        <v>1.5</v>
      </c>
      <c r="C312" s="412"/>
    </row>
    <row r="313" spans="1:3" ht="12.75">
      <c r="A313" s="108">
        <v>18</v>
      </c>
      <c r="B313" s="108">
        <v>1.6</v>
      </c>
      <c r="C313" s="413"/>
    </row>
    <row r="315" ht="30">
      <c r="A315" s="285" t="s">
        <v>374</v>
      </c>
    </row>
  </sheetData>
  <sheetProtection formatColumns="0" formatRows="0" deleteColumns="0" deleteRows="0" sort="0" pivotTables="0"/>
  <mergeCells count="124">
    <mergeCell ref="X36:X57"/>
    <mergeCell ref="Y36:Y57"/>
    <mergeCell ref="G296:G299"/>
    <mergeCell ref="E295:G295"/>
    <mergeCell ref="F288:F293"/>
    <mergeCell ref="Q36:Q57"/>
    <mergeCell ref="E74:E81"/>
    <mergeCell ref="E63:E71"/>
    <mergeCell ref="I51:J51"/>
    <mergeCell ref="I52:I71"/>
    <mergeCell ref="C296:C313"/>
    <mergeCell ref="C203:C249"/>
    <mergeCell ref="E203:E249"/>
    <mergeCell ref="C288:C293"/>
    <mergeCell ref="G302:G305"/>
    <mergeCell ref="C265:C271"/>
    <mergeCell ref="A163:A176"/>
    <mergeCell ref="H276:H283"/>
    <mergeCell ref="A281:B281"/>
    <mergeCell ref="C282:C286"/>
    <mergeCell ref="C254:C262"/>
    <mergeCell ref="G254:G260"/>
    <mergeCell ref="B163:B176"/>
    <mergeCell ref="E163:E176"/>
    <mergeCell ref="D163:D176"/>
    <mergeCell ref="F192:F194"/>
    <mergeCell ref="B157:B158"/>
    <mergeCell ref="C134:C152"/>
    <mergeCell ref="N255:N269"/>
    <mergeCell ref="K255:K269"/>
    <mergeCell ref="L255:L269"/>
    <mergeCell ref="M255:M269"/>
    <mergeCell ref="B53:B61"/>
    <mergeCell ref="B63:B67"/>
    <mergeCell ref="H265:H273"/>
    <mergeCell ref="C276:C280"/>
    <mergeCell ref="C163:C176"/>
    <mergeCell ref="A134:A152"/>
    <mergeCell ref="B134:B152"/>
    <mergeCell ref="B74:B78"/>
    <mergeCell ref="A123:A132"/>
    <mergeCell ref="B123:B132"/>
    <mergeCell ref="A85:A89"/>
    <mergeCell ref="N42:N43"/>
    <mergeCell ref="P36:P57"/>
    <mergeCell ref="C99:C113"/>
    <mergeCell ref="A119:O119"/>
    <mergeCell ref="B85:B89"/>
    <mergeCell ref="B84:D84"/>
    <mergeCell ref="B52:D52"/>
    <mergeCell ref="A53:A61"/>
    <mergeCell ref="A63:A67"/>
    <mergeCell ref="A1:O1"/>
    <mergeCell ref="C5:C45"/>
    <mergeCell ref="F5:F45"/>
    <mergeCell ref="M34:M35"/>
    <mergeCell ref="M36:M37"/>
    <mergeCell ref="M38:M39"/>
    <mergeCell ref="E53:E59"/>
    <mergeCell ref="F84:F96"/>
    <mergeCell ref="I75:I80"/>
    <mergeCell ref="D99:D113"/>
    <mergeCell ref="D134:D152"/>
    <mergeCell ref="C123:C132"/>
    <mergeCell ref="J84:J96"/>
    <mergeCell ref="H99:H117"/>
    <mergeCell ref="H75:H80"/>
    <mergeCell ref="P16:P27"/>
    <mergeCell ref="G40:J40"/>
    <mergeCell ref="M16:M27"/>
    <mergeCell ref="N40:N41"/>
    <mergeCell ref="M40:M41"/>
    <mergeCell ref="H53:H59"/>
    <mergeCell ref="E52:G52"/>
    <mergeCell ref="K5:K11"/>
    <mergeCell ref="G16:G27"/>
    <mergeCell ref="J16:J27"/>
    <mergeCell ref="N34:N35"/>
    <mergeCell ref="N36:N37"/>
    <mergeCell ref="N38:N39"/>
    <mergeCell ref="L124:L141"/>
    <mergeCell ref="G163:G176"/>
    <mergeCell ref="M42:M43"/>
    <mergeCell ref="H63:H71"/>
    <mergeCell ref="I163:I176"/>
    <mergeCell ref="G157:G158"/>
    <mergeCell ref="J163:J176"/>
    <mergeCell ref="H163:H176"/>
    <mergeCell ref="G42:J42"/>
    <mergeCell ref="H124:H140"/>
    <mergeCell ref="J203:J249"/>
    <mergeCell ref="G203:G249"/>
    <mergeCell ref="F163:F176"/>
    <mergeCell ref="G154:G155"/>
    <mergeCell ref="G196:G199"/>
    <mergeCell ref="J178:J189"/>
    <mergeCell ref="H178:H189"/>
    <mergeCell ref="H196:H199"/>
    <mergeCell ref="I178:I189"/>
    <mergeCell ref="F203:F249"/>
    <mergeCell ref="D288:D293"/>
    <mergeCell ref="E288:E293"/>
    <mergeCell ref="D203:D249"/>
    <mergeCell ref="D195:F195"/>
    <mergeCell ref="H203:H249"/>
    <mergeCell ref="I203:I249"/>
    <mergeCell ref="A287:B287"/>
    <mergeCell ref="G178:G189"/>
    <mergeCell ref="F178:F189"/>
    <mergeCell ref="E178:E189"/>
    <mergeCell ref="D178:D189"/>
    <mergeCell ref="C178:C189"/>
    <mergeCell ref="B178:B189"/>
    <mergeCell ref="A178:A189"/>
    <mergeCell ref="O255:O269"/>
    <mergeCell ref="K286:K305"/>
    <mergeCell ref="V36:V57"/>
    <mergeCell ref="W36:W57"/>
    <mergeCell ref="M84:M96"/>
    <mergeCell ref="K203:K249"/>
    <mergeCell ref="L203:L249"/>
    <mergeCell ref="M75:M80"/>
    <mergeCell ref="N75:N80"/>
    <mergeCell ref="U36:U57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Khoa Nam</dc:creator>
  <cp:keywords/>
  <dc:description/>
  <cp:lastModifiedBy>thangdt</cp:lastModifiedBy>
  <cp:lastPrinted>2006-09-16T08:03:10Z</cp:lastPrinted>
  <dcterms:created xsi:type="dcterms:W3CDTF">2005-11-04T04:50:16Z</dcterms:created>
  <dcterms:modified xsi:type="dcterms:W3CDTF">2016-06-07T10:58:36Z</dcterms:modified>
  <cp:category/>
  <cp:version/>
  <cp:contentType/>
  <cp:contentStatus/>
</cp:coreProperties>
</file>