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3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drawings/drawing4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7635" windowHeight="6855" activeTab="2"/>
  </bookViews>
  <sheets>
    <sheet name="Nhập dữ liệu" sheetId="1" r:id="rId1"/>
    <sheet name="Số liệu tính" sheetId="2" r:id="rId2"/>
    <sheet name="Bản" sheetId="3" r:id="rId3"/>
    <sheet name="Dầm phụ" sheetId="5" r:id="rId4"/>
    <sheet name="Dầm chính" sheetId="6" r:id="rId5"/>
  </sheets>
  <calcPr calcId="145621"/>
</workbook>
</file>

<file path=xl/calcChain.xml><?xml version="1.0" encoding="utf-8"?>
<calcChain xmlns="http://schemas.openxmlformats.org/spreadsheetml/2006/main">
  <c r="N346" i="5" l="1"/>
  <c r="M346" i="5"/>
  <c r="L346" i="5"/>
  <c r="J346" i="5"/>
  <c r="I346" i="5"/>
  <c r="G346" i="5"/>
  <c r="D346" i="5"/>
  <c r="J136" i="6" l="1"/>
  <c r="G134" i="6"/>
  <c r="F288" i="3"/>
  <c r="F287" i="3"/>
  <c r="F286" i="3"/>
  <c r="F285" i="3"/>
  <c r="G278" i="3"/>
  <c r="G11" i="3" l="1"/>
  <c r="K295" i="3" l="1"/>
  <c r="K294" i="3"/>
  <c r="K293" i="3"/>
  <c r="I293" i="3"/>
  <c r="K292" i="3"/>
  <c r="I292" i="3"/>
  <c r="K291" i="3"/>
  <c r="I291" i="3"/>
  <c r="K290" i="3"/>
  <c r="I290" i="3"/>
  <c r="K289" i="3"/>
  <c r="I289" i="3"/>
  <c r="K288" i="3"/>
  <c r="I288" i="3"/>
  <c r="K287" i="3"/>
  <c r="I287" i="3"/>
  <c r="K286" i="3"/>
  <c r="I286" i="3"/>
  <c r="K285" i="3"/>
  <c r="I285" i="3"/>
  <c r="I284" i="3"/>
  <c r="I283" i="3"/>
  <c r="I282" i="3"/>
  <c r="I281" i="3"/>
  <c r="I280" i="3"/>
  <c r="I279" i="3"/>
  <c r="J292" i="3" l="1"/>
  <c r="J290" i="3"/>
  <c r="J288" i="3"/>
  <c r="J285" i="3"/>
  <c r="J287" i="3"/>
  <c r="J289" i="3"/>
  <c r="J291" i="3"/>
  <c r="J286" i="3"/>
  <c r="J293" i="3"/>
  <c r="G94" i="6"/>
  <c r="J14" i="1" l="1"/>
  <c r="G14" i="1"/>
  <c r="E14" i="1"/>
  <c r="D14" i="1"/>
  <c r="C14" i="1"/>
  <c r="B14" i="1"/>
  <c r="G54" i="2"/>
  <c r="M54" i="2" s="1"/>
  <c r="G53" i="2"/>
  <c r="M53" i="2" s="1"/>
  <c r="F89" i="5" l="1"/>
  <c r="P53" i="2"/>
  <c r="J53" i="2"/>
  <c r="S53" i="2"/>
  <c r="P54" i="2"/>
  <c r="S54" i="2"/>
  <c r="J54" i="2"/>
  <c r="G47" i="6"/>
  <c r="I31" i="6"/>
  <c r="I27" i="6"/>
  <c r="H15" i="6"/>
  <c r="G21" i="6"/>
  <c r="G17" i="6"/>
  <c r="O15" i="6"/>
  <c r="N15" i="6"/>
  <c r="P4" i="6"/>
  <c r="H4" i="6"/>
  <c r="G4" i="6"/>
  <c r="N3" i="6"/>
  <c r="G3" i="6"/>
  <c r="N143" i="6" l="1"/>
  <c r="I144" i="6"/>
  <c r="K141" i="6"/>
  <c r="G141" i="6"/>
  <c r="G143" i="6"/>
  <c r="I141" i="6"/>
  <c r="J144" i="6"/>
  <c r="L142" i="6"/>
  <c r="H142" i="6"/>
  <c r="G142" i="6"/>
  <c r="E141" i="6"/>
  <c r="J142" i="6"/>
  <c r="D139" i="6"/>
  <c r="E51" i="6"/>
  <c r="P53" i="6"/>
  <c r="H53" i="6"/>
  <c r="P52" i="6"/>
  <c r="H52" i="6"/>
  <c r="N53" i="6"/>
  <c r="N52" i="6"/>
  <c r="M51" i="6"/>
  <c r="L53" i="6"/>
  <c r="J53" i="6"/>
  <c r="M50" i="6"/>
  <c r="L52" i="6"/>
  <c r="J52" i="6"/>
  <c r="J50" i="6"/>
  <c r="E52" i="6"/>
  <c r="K51" i="6"/>
  <c r="I51" i="6"/>
  <c r="G51" i="6"/>
  <c r="D45" i="6"/>
  <c r="G52" i="6"/>
  <c r="E53" i="6"/>
  <c r="G53" i="6"/>
  <c r="K50" i="6"/>
  <c r="I50" i="6"/>
  <c r="G50" i="6"/>
  <c r="E50" i="6"/>
  <c r="J51" i="6"/>
  <c r="E29" i="6"/>
  <c r="J93" i="6"/>
  <c r="I94" i="6"/>
  <c r="K90" i="6"/>
  <c r="J92" i="6"/>
  <c r="F92" i="6"/>
  <c r="F88" i="6"/>
  <c r="H94" i="6"/>
  <c r="J90" i="6"/>
  <c r="I92" i="6"/>
  <c r="J88" i="6"/>
  <c r="H90" i="6"/>
  <c r="K94" i="6"/>
  <c r="I90" i="6"/>
  <c r="H92" i="6"/>
  <c r="I88" i="6"/>
  <c r="G90" i="6"/>
  <c r="J94" i="6"/>
  <c r="F94" i="6"/>
  <c r="K92" i="6"/>
  <c r="G92" i="6"/>
  <c r="G88" i="6"/>
  <c r="F90" i="6"/>
  <c r="J72" i="6"/>
  <c r="G74" i="6"/>
  <c r="F72" i="6"/>
  <c r="I74" i="6"/>
  <c r="G72" i="6"/>
  <c r="J74" i="6"/>
  <c r="I72" i="6"/>
  <c r="F74" i="6"/>
  <c r="F82" i="6"/>
  <c r="J82" i="6"/>
  <c r="F84" i="6"/>
  <c r="J84" i="6"/>
  <c r="H86" i="6"/>
  <c r="K82" i="6"/>
  <c r="K84" i="6"/>
  <c r="K88" i="6"/>
  <c r="H82" i="6"/>
  <c r="H84" i="6"/>
  <c r="F86" i="6"/>
  <c r="J86" i="6"/>
  <c r="H88" i="6"/>
  <c r="G82" i="6"/>
  <c r="G84" i="6"/>
  <c r="I86" i="6"/>
  <c r="I82" i="6"/>
  <c r="I84" i="6"/>
  <c r="G86" i="6"/>
  <c r="K86" i="6"/>
  <c r="F61" i="6"/>
  <c r="F62" i="6" s="1"/>
  <c r="J66" i="6"/>
  <c r="H72" i="6"/>
  <c r="H64" i="6"/>
  <c r="H68" i="6"/>
  <c r="I64" i="6"/>
  <c r="F70" i="6"/>
  <c r="F66" i="6"/>
  <c r="I70" i="6"/>
  <c r="G66" i="6"/>
  <c r="K66" i="6"/>
  <c r="I68" i="6"/>
  <c r="G70" i="6"/>
  <c r="K70" i="6"/>
  <c r="K74" i="6"/>
  <c r="F64" i="6"/>
  <c r="J64" i="6"/>
  <c r="H66" i="6"/>
  <c r="F68" i="6"/>
  <c r="J68" i="6"/>
  <c r="H70" i="6"/>
  <c r="H74" i="6"/>
  <c r="G64" i="6"/>
  <c r="K64" i="6"/>
  <c r="I66" i="6"/>
  <c r="G68" i="6"/>
  <c r="K68" i="6"/>
  <c r="J70" i="6"/>
  <c r="K72" i="6"/>
  <c r="J79" i="6"/>
  <c r="J63" i="6"/>
  <c r="E63" i="6"/>
  <c r="E79" i="6"/>
  <c r="I55" i="6"/>
  <c r="H55" i="6"/>
  <c r="F55" i="6"/>
  <c r="J55" i="6"/>
  <c r="G55" i="6"/>
  <c r="K55" i="6"/>
  <c r="G57" i="6"/>
  <c r="G58" i="6" s="1"/>
  <c r="K57" i="6"/>
  <c r="K58" i="6" s="1"/>
  <c r="K61" i="6" s="1"/>
  <c r="K62" i="6" s="1"/>
  <c r="H59" i="6"/>
  <c r="H60" i="6" s="1"/>
  <c r="H57" i="6"/>
  <c r="H58" i="6" s="1"/>
  <c r="F59" i="6"/>
  <c r="F60" i="6" s="1"/>
  <c r="I59" i="6"/>
  <c r="I60" i="6" s="1"/>
  <c r="I57" i="6"/>
  <c r="I58" i="6" s="1"/>
  <c r="J59" i="6"/>
  <c r="J60" i="6" s="1"/>
  <c r="F57" i="6"/>
  <c r="F58" i="6" s="1"/>
  <c r="J57" i="6"/>
  <c r="J58" i="6" s="1"/>
  <c r="J61" i="6" s="1"/>
  <c r="J62" i="6" s="1"/>
  <c r="G59" i="6"/>
  <c r="G60" i="6" s="1"/>
  <c r="K59" i="6"/>
  <c r="K60" i="6" s="1"/>
  <c r="E54" i="6"/>
  <c r="J54" i="6"/>
  <c r="F243" i="5"/>
  <c r="J243" i="5" s="1"/>
  <c r="I241" i="5"/>
  <c r="P261" i="5" s="1"/>
  <c r="P269" i="5" s="1"/>
  <c r="G61" i="6" l="1"/>
  <c r="G62" i="6" s="1"/>
  <c r="I61" i="6"/>
  <c r="I62" i="6" s="1"/>
  <c r="H61" i="6"/>
  <c r="H62" i="6" s="1"/>
  <c r="P263" i="5"/>
  <c r="P268" i="5"/>
  <c r="P262" i="5"/>
  <c r="P267" i="5"/>
  <c r="O258" i="5"/>
  <c r="O272" i="5" s="1"/>
  <c r="F231" i="5"/>
  <c r="J231" i="5" s="1"/>
  <c r="O270" i="5" l="1"/>
  <c r="O266" i="5"/>
  <c r="O262" i="5"/>
  <c r="O269" i="5"/>
  <c r="O265" i="5"/>
  <c r="O261" i="5"/>
  <c r="O268" i="5"/>
  <c r="O264" i="5"/>
  <c r="O260" i="5"/>
  <c r="O271" i="5"/>
  <c r="O267" i="5"/>
  <c r="O263" i="5"/>
  <c r="O259" i="5"/>
  <c r="H207" i="5"/>
  <c r="G207" i="5"/>
  <c r="F204" i="5"/>
  <c r="H226" i="5" s="1"/>
  <c r="F170" i="5"/>
  <c r="H163" i="5"/>
  <c r="L125" i="5"/>
  <c r="F115" i="5"/>
  <c r="K112" i="5"/>
  <c r="H101" i="5"/>
  <c r="K92" i="5"/>
  <c r="H91" i="5"/>
  <c r="G96" i="5" s="1"/>
  <c r="G87" i="5"/>
  <c r="I83" i="5"/>
  <c r="G246" i="5" l="1"/>
  <c r="J350" i="5"/>
  <c r="G172" i="5"/>
  <c r="H184" i="5"/>
  <c r="G221" i="5"/>
  <c r="F207" i="5"/>
  <c r="J208" i="5" s="1"/>
  <c r="H173" i="5"/>
  <c r="G107" i="5"/>
  <c r="G120" i="5"/>
  <c r="H140" i="5"/>
  <c r="K34" i="5"/>
  <c r="J31" i="5"/>
  <c r="N30" i="5"/>
  <c r="G30" i="5"/>
  <c r="L8" i="5"/>
  <c r="K8" i="5"/>
  <c r="H9" i="5"/>
  <c r="I12" i="5" s="1"/>
  <c r="H212" i="5" l="1"/>
  <c r="H327" i="5"/>
  <c r="H307" i="5"/>
  <c r="H6" i="5"/>
  <c r="G3" i="5"/>
  <c r="G343" i="5" l="1"/>
  <c r="G345" i="5"/>
  <c r="C270" i="5"/>
  <c r="J345" i="5"/>
  <c r="J344" i="5"/>
  <c r="G344" i="5"/>
  <c r="C271" i="5"/>
  <c r="F271" i="5"/>
  <c r="H271" i="5"/>
  <c r="D345" i="5"/>
  <c r="D344" i="5"/>
  <c r="D268" i="5"/>
  <c r="G272" i="5"/>
  <c r="G267" i="5"/>
  <c r="G270" i="5"/>
  <c r="G269" i="5"/>
  <c r="D267" i="5"/>
  <c r="D271" i="5"/>
  <c r="D270" i="5"/>
  <c r="J147" i="5"/>
  <c r="I147" i="5"/>
  <c r="I109" i="5"/>
  <c r="L109" i="5"/>
  <c r="G109" i="5"/>
  <c r="G108" i="5"/>
  <c r="K109" i="5"/>
  <c r="E109" i="5"/>
  <c r="C108" i="5"/>
  <c r="F68" i="5"/>
  <c r="G69" i="5"/>
  <c r="D70" i="5"/>
  <c r="F73" i="5"/>
  <c r="F67" i="5"/>
  <c r="F72" i="5"/>
  <c r="F71" i="5"/>
  <c r="D69" i="5"/>
  <c r="E70" i="5"/>
  <c r="E69" i="5"/>
  <c r="D73" i="5"/>
  <c r="D72" i="5"/>
  <c r="D71" i="5"/>
  <c r="D67" i="5"/>
  <c r="D68" i="5"/>
  <c r="K12" i="5"/>
  <c r="M12" i="5" s="1"/>
  <c r="J8" i="5"/>
  <c r="M9" i="5" s="1"/>
  <c r="L214" i="3"/>
  <c r="I204" i="3"/>
  <c r="K194" i="3"/>
  <c r="L190" i="3"/>
  <c r="M184" i="3"/>
  <c r="P184" i="3"/>
  <c r="E154" i="3"/>
  <c r="F150" i="3"/>
  <c r="H140" i="3"/>
  <c r="G135" i="3"/>
  <c r="E144" i="3"/>
  <c r="J137" i="3"/>
  <c r="J140" i="3" s="1"/>
  <c r="E119" i="3"/>
  <c r="H115" i="3"/>
  <c r="J112" i="3"/>
  <c r="J115" i="3" s="1"/>
  <c r="G110" i="3"/>
  <c r="I95" i="3"/>
  <c r="J91" i="3"/>
  <c r="H51" i="3"/>
  <c r="I52" i="3" s="1"/>
  <c r="I49" i="3"/>
  <c r="G49" i="3"/>
  <c r="F276" i="3" l="1"/>
  <c r="K276" i="3" s="1"/>
  <c r="F281" i="3"/>
  <c r="K281" i="3" s="1"/>
  <c r="J281" i="3" s="1"/>
  <c r="F282" i="3"/>
  <c r="K282" i="3" s="1"/>
  <c r="J282" i="3" s="1"/>
  <c r="F280" i="3"/>
  <c r="K280" i="3" s="1"/>
  <c r="J280" i="3" s="1"/>
  <c r="F277" i="3"/>
  <c r="K277" i="3" s="1"/>
  <c r="F284" i="3"/>
  <c r="K284" i="3" s="1"/>
  <c r="J284" i="3" s="1"/>
  <c r="F278" i="3"/>
  <c r="K278" i="3" s="1"/>
  <c r="F283" i="3"/>
  <c r="K283" i="3" s="1"/>
  <c r="J283" i="3" s="1"/>
  <c r="F279" i="3"/>
  <c r="K279" i="3" s="1"/>
  <c r="J279" i="3" s="1"/>
  <c r="G115" i="5"/>
  <c r="I115" i="5" s="1"/>
  <c r="F118" i="5" s="1"/>
  <c r="G321" i="5"/>
  <c r="H85" i="5"/>
  <c r="J77" i="5"/>
  <c r="L77" i="5" s="1"/>
  <c r="J43" i="5"/>
  <c r="H81" i="5"/>
  <c r="H83" i="5" s="1"/>
  <c r="I79" i="5"/>
  <c r="J76" i="5"/>
  <c r="L76" i="5" s="1"/>
  <c r="J14" i="5"/>
  <c r="J45" i="5"/>
  <c r="L47" i="5" s="1"/>
  <c r="H14" i="5"/>
  <c r="I15" i="5"/>
  <c r="K49" i="3"/>
  <c r="I34" i="5" s="1"/>
  <c r="M34" i="5" s="1"/>
  <c r="F21" i="6" s="1"/>
  <c r="I21" i="6" s="1"/>
  <c r="H148" i="6" s="1"/>
  <c r="L44" i="3"/>
  <c r="L45" i="3"/>
  <c r="L43" i="3"/>
  <c r="L42" i="3"/>
  <c r="H45" i="3"/>
  <c r="H44" i="3"/>
  <c r="H43" i="3"/>
  <c r="H42" i="3"/>
  <c r="G45" i="3"/>
  <c r="J45" i="3" s="1"/>
  <c r="G43" i="3"/>
  <c r="G42" i="3"/>
  <c r="J29" i="3"/>
  <c r="H29" i="3"/>
  <c r="K25" i="3"/>
  <c r="J25" i="3"/>
  <c r="I26" i="3"/>
  <c r="H21" i="3"/>
  <c r="H19" i="3"/>
  <c r="H16" i="3"/>
  <c r="J16" i="3" s="1"/>
  <c r="U16" i="3" s="1"/>
  <c r="V16" i="3" s="1"/>
  <c r="N16" i="3" s="1"/>
  <c r="I11" i="3"/>
  <c r="G5" i="3"/>
  <c r="I5" i="3" s="1"/>
  <c r="U5" i="3" s="1"/>
  <c r="V5" i="3" s="1"/>
  <c r="M5" i="3" s="1"/>
  <c r="J8" i="3"/>
  <c r="F8" i="3"/>
  <c r="F88" i="5"/>
  <c r="G51" i="2"/>
  <c r="K52" i="2" s="1"/>
  <c r="I29" i="2"/>
  <c r="H29" i="2"/>
  <c r="H28" i="2"/>
  <c r="K27" i="2"/>
  <c r="H27" i="2"/>
  <c r="H88" i="5" l="1"/>
  <c r="F245" i="5" s="1"/>
  <c r="K88" i="5"/>
  <c r="L3" i="6"/>
  <c r="J15" i="6"/>
  <c r="L15" i="6"/>
  <c r="M237" i="5"/>
  <c r="L111" i="5"/>
  <c r="J29" i="5"/>
  <c r="K30" i="5"/>
  <c r="F47" i="6"/>
  <c r="I47" i="6" s="1"/>
  <c r="G31" i="6"/>
  <c r="K31" i="6" s="1"/>
  <c r="H52" i="2"/>
  <c r="E52" i="2"/>
  <c r="L36" i="5"/>
  <c r="I178" i="5" s="1"/>
  <c r="G38" i="5"/>
  <c r="M14" i="5"/>
  <c r="K50" i="3"/>
  <c r="F187" i="3"/>
  <c r="I20" i="3"/>
  <c r="J20" i="3" s="1"/>
  <c r="G95" i="3"/>
  <c r="K95" i="3" s="1"/>
  <c r="I110" i="3" s="1"/>
  <c r="K184" i="3"/>
  <c r="J43" i="3"/>
  <c r="N43" i="3" s="1"/>
  <c r="N45" i="3"/>
  <c r="J42" i="3"/>
  <c r="N42" i="3" s="1"/>
  <c r="L29" i="3"/>
  <c r="G117" i="5" s="1"/>
  <c r="I117" i="5" s="1"/>
  <c r="H118" i="5" s="1"/>
  <c r="J118" i="5" s="1"/>
  <c r="I120" i="5" s="1"/>
  <c r="K120" i="5" s="1"/>
  <c r="F230" i="5" s="1"/>
  <c r="P258" i="5" s="1"/>
  <c r="L25" i="3"/>
  <c r="M26" i="3" s="1"/>
  <c r="G44" i="3"/>
  <c r="U11" i="3"/>
  <c r="V11" i="3" s="1"/>
  <c r="N11" i="3" s="1"/>
  <c r="F51" i="6" l="1"/>
  <c r="F52" i="6"/>
  <c r="F53" i="6"/>
  <c r="F50" i="6"/>
  <c r="G277" i="3"/>
  <c r="G276" i="3"/>
  <c r="H93" i="6"/>
  <c r="H91" i="6"/>
  <c r="H89" i="6"/>
  <c r="H87" i="6"/>
  <c r="J85" i="6"/>
  <c r="F85" i="6"/>
  <c r="G91" i="6"/>
  <c r="K87" i="6"/>
  <c r="G87" i="6"/>
  <c r="I85" i="6"/>
  <c r="H95" i="6"/>
  <c r="K91" i="6"/>
  <c r="F91" i="6"/>
  <c r="J87" i="6"/>
  <c r="F87" i="6"/>
  <c r="H85" i="6"/>
  <c r="K93" i="6"/>
  <c r="K89" i="6"/>
  <c r="I87" i="6"/>
  <c r="K85" i="6"/>
  <c r="G85" i="6"/>
  <c r="I198" i="3"/>
  <c r="K198" i="3" s="1"/>
  <c r="H30" i="3"/>
  <c r="J30" i="3"/>
  <c r="Q258" i="5"/>
  <c r="Q267" i="5" s="1"/>
  <c r="G240" i="5"/>
  <c r="F103" i="5"/>
  <c r="G250" i="5"/>
  <c r="F233" i="5"/>
  <c r="G169" i="5"/>
  <c r="I87" i="5"/>
  <c r="H204" i="3"/>
  <c r="L87" i="5"/>
  <c r="I169" i="5"/>
  <c r="H89" i="5"/>
  <c r="K169" i="5"/>
  <c r="F212" i="5" s="1"/>
  <c r="F131" i="3"/>
  <c r="F106" i="3"/>
  <c r="H69" i="6"/>
  <c r="K69" i="6" s="1"/>
  <c r="F69" i="6"/>
  <c r="H73" i="6"/>
  <c r="H75" i="6"/>
  <c r="K75" i="6"/>
  <c r="K73" i="6"/>
  <c r="J71" i="6"/>
  <c r="H71" i="6"/>
  <c r="K71" i="6" s="1"/>
  <c r="G71" i="6"/>
  <c r="I69" i="6"/>
  <c r="J69" i="6" s="1"/>
  <c r="F71" i="6"/>
  <c r="G69" i="6"/>
  <c r="I71" i="6"/>
  <c r="Q15" i="6"/>
  <c r="F19" i="6" s="1"/>
  <c r="G234" i="5"/>
  <c r="I30" i="5"/>
  <c r="P30" i="5" s="1"/>
  <c r="I32" i="5" s="1"/>
  <c r="J241" i="5"/>
  <c r="N258" i="5"/>
  <c r="H170" i="5"/>
  <c r="K91" i="5"/>
  <c r="F122" i="5"/>
  <c r="F119" i="5"/>
  <c r="H125" i="5"/>
  <c r="H129" i="5" s="1"/>
  <c r="G122" i="5"/>
  <c r="K122" i="5"/>
  <c r="P260" i="5"/>
  <c r="P272" i="5"/>
  <c r="P266" i="5"/>
  <c r="P270" i="5"/>
  <c r="P264" i="5"/>
  <c r="P271" i="5"/>
  <c r="P265" i="5"/>
  <c r="P259" i="5"/>
  <c r="F124" i="3"/>
  <c r="F99" i="3"/>
  <c r="I200" i="3"/>
  <c r="K200" i="3" s="1"/>
  <c r="I212" i="3"/>
  <c r="K212" i="3" s="1"/>
  <c r="J214" i="3" s="1"/>
  <c r="N214" i="3" s="1"/>
  <c r="I135" i="3"/>
  <c r="J204" i="3"/>
  <c r="L189" i="3"/>
  <c r="I192" i="3"/>
  <c r="K192" i="3" s="1"/>
  <c r="I194" i="3" s="1"/>
  <c r="M194" i="3" s="1"/>
  <c r="H124" i="3"/>
  <c r="H150" i="3"/>
  <c r="J185" i="3"/>
  <c r="H131" i="3"/>
  <c r="R184" i="3"/>
  <c r="T184" i="3" s="1"/>
  <c r="L185" i="3" s="1"/>
  <c r="H106" i="3"/>
  <c r="H99" i="3"/>
  <c r="I79" i="3"/>
  <c r="K90" i="3"/>
  <c r="K89" i="3"/>
  <c r="I84" i="3"/>
  <c r="L91" i="3"/>
  <c r="G46" i="3"/>
  <c r="J44" i="3"/>
  <c r="I32" i="3"/>
  <c r="I53" i="6" l="1"/>
  <c r="I52" i="6"/>
  <c r="K53" i="6"/>
  <c r="K52" i="6"/>
  <c r="H50" i="6"/>
  <c r="L50" i="6" s="1"/>
  <c r="H51" i="6"/>
  <c r="L51" i="6" s="1"/>
  <c r="J91" i="6"/>
  <c r="I91" i="6"/>
  <c r="I93" i="6"/>
  <c r="G93" i="6"/>
  <c r="G89" i="6"/>
  <c r="J89" i="6"/>
  <c r="H141" i="6" s="1"/>
  <c r="I89" i="6"/>
  <c r="F93" i="6"/>
  <c r="F89" i="6"/>
  <c r="F95" i="6"/>
  <c r="G95" i="6"/>
  <c r="I95" i="6" s="1"/>
  <c r="Q260" i="5"/>
  <c r="Q265" i="5"/>
  <c r="Q266" i="5"/>
  <c r="Q270" i="5"/>
  <c r="Q272" i="5"/>
  <c r="Q262" i="5"/>
  <c r="Q264" i="5"/>
  <c r="Q259" i="5"/>
  <c r="Q263" i="5"/>
  <c r="Q271" i="5"/>
  <c r="Q269" i="5"/>
  <c r="Q268" i="5"/>
  <c r="Q261" i="5"/>
  <c r="L204" i="3"/>
  <c r="N204" i="3" s="1"/>
  <c r="I205" i="3" s="1"/>
  <c r="J73" i="6"/>
  <c r="F73" i="6"/>
  <c r="I75" i="6"/>
  <c r="J75" i="6"/>
  <c r="F75" i="6"/>
  <c r="G75" i="6" s="1"/>
  <c r="F221" i="5"/>
  <c r="G184" i="5"/>
  <c r="J184" i="5" s="1"/>
  <c r="F186" i="5" s="1"/>
  <c r="G173" i="5"/>
  <c r="I73" i="6"/>
  <c r="F96" i="5"/>
  <c r="E122" i="5"/>
  <c r="G73" i="6"/>
  <c r="R258" i="5"/>
  <c r="F246" i="5"/>
  <c r="F234" i="5"/>
  <c r="F172" i="5"/>
  <c r="F327" i="5"/>
  <c r="F307" i="5"/>
  <c r="N270" i="5"/>
  <c r="N269" i="5"/>
  <c r="N265" i="5"/>
  <c r="N268" i="5"/>
  <c r="N272" i="5"/>
  <c r="N261" i="5"/>
  <c r="N259" i="5"/>
  <c r="N260" i="5"/>
  <c r="N262" i="5"/>
  <c r="N264" i="5"/>
  <c r="N271" i="5"/>
  <c r="N267" i="5"/>
  <c r="N263" i="5"/>
  <c r="N266" i="5"/>
  <c r="I243" i="5"/>
  <c r="I231" i="5"/>
  <c r="I92" i="5"/>
  <c r="J125" i="5"/>
  <c r="F163" i="5"/>
  <c r="N44" i="3"/>
  <c r="N46" i="3" s="1"/>
  <c r="F48" i="3" s="1"/>
  <c r="H31" i="5" s="1"/>
  <c r="L31" i="5" s="1"/>
  <c r="K32" i="5" s="1"/>
  <c r="M32" i="5" s="1"/>
  <c r="F17" i="6" s="1"/>
  <c r="I17" i="6" s="1"/>
  <c r="H19" i="6" s="1"/>
  <c r="J19" i="6" s="1"/>
  <c r="J46" i="3"/>
  <c r="L31" i="3"/>
  <c r="H133" i="6" l="1"/>
  <c r="G27" i="6"/>
  <c r="K27" i="6" s="1"/>
  <c r="K83" i="6" s="1"/>
  <c r="H147" i="6"/>
  <c r="M53" i="6"/>
  <c r="M52" i="6"/>
  <c r="O52" i="6" s="1"/>
  <c r="K95" i="6"/>
  <c r="J95" i="6"/>
  <c r="R269" i="5"/>
  <c r="R270" i="5"/>
  <c r="R267" i="5"/>
  <c r="R259" i="5"/>
  <c r="R266" i="5"/>
  <c r="R264" i="5"/>
  <c r="R261" i="5"/>
  <c r="R263" i="5"/>
  <c r="R268" i="5"/>
  <c r="R271" i="5"/>
  <c r="R272" i="5"/>
  <c r="R260" i="5"/>
  <c r="R262" i="5"/>
  <c r="R265" i="5"/>
  <c r="F67" i="6"/>
  <c r="I112" i="5"/>
  <c r="M112" i="5" s="1"/>
  <c r="M92" i="5"/>
  <c r="G39" i="5"/>
  <c r="I38" i="5" s="1"/>
  <c r="Q48" i="5" s="1"/>
  <c r="J36" i="5"/>
  <c r="I50" i="3"/>
  <c r="M50" i="3" s="1"/>
  <c r="K91" i="3" s="1"/>
  <c r="N91" i="3" s="1"/>
  <c r="H187" i="3"/>
  <c r="J187" i="3" s="1"/>
  <c r="K187" i="3" s="1"/>
  <c r="M187" i="3" s="1"/>
  <c r="J189" i="3" s="1"/>
  <c r="N189" i="3" s="1"/>
  <c r="J190" i="3" s="1"/>
  <c r="N190" i="3" s="1"/>
  <c r="J67" i="6" l="1"/>
  <c r="J76" i="6" s="1"/>
  <c r="I67" i="6"/>
  <c r="I76" i="6" s="1"/>
  <c r="H67" i="6"/>
  <c r="H77" i="6" s="1"/>
  <c r="G67" i="6"/>
  <c r="G77" i="6" s="1"/>
  <c r="K67" i="6"/>
  <c r="K76" i="6" s="1"/>
  <c r="F83" i="6"/>
  <c r="F97" i="6" s="1"/>
  <c r="J83" i="6"/>
  <c r="F141" i="6" s="1"/>
  <c r="J141" i="6" s="1"/>
  <c r="K142" i="6" s="1"/>
  <c r="I83" i="6"/>
  <c r="G83" i="6"/>
  <c r="G97" i="6" s="1"/>
  <c r="H83" i="6"/>
  <c r="H97" i="6" s="1"/>
  <c r="O53" i="6"/>
  <c r="K97" i="6"/>
  <c r="F143" i="6" s="1"/>
  <c r="K96" i="6"/>
  <c r="F76" i="6"/>
  <c r="F77" i="6"/>
  <c r="I107" i="5"/>
  <c r="H103" i="5"/>
  <c r="H96" i="5"/>
  <c r="I122" i="5"/>
  <c r="M122" i="5" s="1"/>
  <c r="J123" i="5" s="1"/>
  <c r="N125" i="5"/>
  <c r="N36" i="5"/>
  <c r="G81" i="5" s="1"/>
  <c r="G83" i="5" s="1"/>
  <c r="G178" i="5"/>
  <c r="K178" i="5" s="1"/>
  <c r="F49" i="5"/>
  <c r="G79" i="5" s="1"/>
  <c r="K79" i="5" s="1"/>
  <c r="G71" i="5"/>
  <c r="G72" i="5"/>
  <c r="G68" i="5"/>
  <c r="G65" i="5"/>
  <c r="G64" i="5"/>
  <c r="G67" i="5"/>
  <c r="G79" i="3"/>
  <c r="K80" i="3" s="1"/>
  <c r="H96" i="3" s="1"/>
  <c r="F97" i="3" s="1"/>
  <c r="K98" i="3" s="1"/>
  <c r="H101" i="3" s="1"/>
  <c r="J101" i="3" s="1"/>
  <c r="G106" i="3" s="1"/>
  <c r="F52" i="3"/>
  <c r="K52" i="3" s="1"/>
  <c r="G84" i="3" s="1"/>
  <c r="K85" i="3" s="1"/>
  <c r="H121" i="3" s="1"/>
  <c r="I77" i="6" l="1"/>
  <c r="J77" i="6"/>
  <c r="H76" i="6"/>
  <c r="F133" i="6"/>
  <c r="J133" i="6" s="1"/>
  <c r="K134" i="6" s="1"/>
  <c r="G76" i="6"/>
  <c r="K77" i="6"/>
  <c r="F135" i="6"/>
  <c r="I134" i="6" s="1"/>
  <c r="J96" i="6"/>
  <c r="J97" i="6"/>
  <c r="I97" i="6"/>
  <c r="I96" i="6"/>
  <c r="G96" i="6"/>
  <c r="F96" i="6"/>
  <c r="H96" i="6"/>
  <c r="I142" i="6"/>
  <c r="M143" i="6" s="1"/>
  <c r="J140" i="5"/>
  <c r="I136" i="5"/>
  <c r="G301" i="5"/>
  <c r="I43" i="5"/>
  <c r="M43" i="5" s="1"/>
  <c r="H61" i="5" s="1"/>
  <c r="K47" i="5"/>
  <c r="O47" i="5" s="1"/>
  <c r="I72" i="5" s="1"/>
  <c r="J81" i="5"/>
  <c r="I45" i="5"/>
  <c r="M45" i="5" s="1"/>
  <c r="H66" i="5" s="1"/>
  <c r="G142" i="5" s="1"/>
  <c r="G73" i="5"/>
  <c r="G85" i="5"/>
  <c r="J85" i="5" s="1"/>
  <c r="J83" i="5"/>
  <c r="F167" i="5" s="1"/>
  <c r="E176" i="5" s="1"/>
  <c r="E196" i="5" s="1"/>
  <c r="I89" i="3"/>
  <c r="M89" i="3" s="1"/>
  <c r="F104" i="3"/>
  <c r="K105" i="3" s="1"/>
  <c r="I218" i="3" s="1"/>
  <c r="K218" i="3" s="1"/>
  <c r="I90" i="3"/>
  <c r="M90" i="3" s="1"/>
  <c r="E205" i="3" s="1"/>
  <c r="G205" i="3" s="1"/>
  <c r="D206" i="3" s="1"/>
  <c r="F129" i="3"/>
  <c r="F122" i="3"/>
  <c r="K123" i="3" s="1"/>
  <c r="H126" i="3" s="1"/>
  <c r="J126" i="3" s="1"/>
  <c r="G131" i="3" s="1"/>
  <c r="M135" i="6" l="1"/>
  <c r="H58" i="5"/>
  <c r="I69" i="5"/>
  <c r="F108" i="5" s="1"/>
  <c r="F109" i="5" s="1"/>
  <c r="H109" i="5" s="1"/>
  <c r="J109" i="5" s="1"/>
  <c r="I148" i="5" s="1"/>
  <c r="I149" i="5" s="1"/>
  <c r="G223" i="5"/>
  <c r="H73" i="5"/>
  <c r="H59" i="5"/>
  <c r="F123" i="5" s="1"/>
  <c r="H123" i="5" s="1"/>
  <c r="F124" i="5" s="1"/>
  <c r="H60" i="5"/>
  <c r="N341" i="5" s="1"/>
  <c r="H67" i="5"/>
  <c r="H57" i="5"/>
  <c r="N340" i="5" s="1"/>
  <c r="I64" i="5"/>
  <c r="H320" i="5" s="1"/>
  <c r="I71" i="5"/>
  <c r="H64" i="5"/>
  <c r="I73" i="5"/>
  <c r="I68" i="5"/>
  <c r="H72" i="5"/>
  <c r="H68" i="5"/>
  <c r="I62" i="5"/>
  <c r="I67" i="5"/>
  <c r="I65" i="5"/>
  <c r="H71" i="5"/>
  <c r="H65" i="5"/>
  <c r="F143" i="5"/>
  <c r="H143" i="5" s="1"/>
  <c r="J143" i="5" s="1"/>
  <c r="I117" i="3"/>
  <c r="L116" i="3" s="1"/>
  <c r="U116" i="3" s="1"/>
  <c r="G119" i="3" s="1"/>
  <c r="H276" i="3" s="1"/>
  <c r="H108" i="3"/>
  <c r="K109" i="3" s="1"/>
  <c r="L109" i="3" s="1"/>
  <c r="K130" i="3"/>
  <c r="N342" i="5" l="1"/>
  <c r="N344" i="5"/>
  <c r="N345" i="5" s="1"/>
  <c r="N343" i="5"/>
  <c r="L119" i="3"/>
  <c r="M109" i="5"/>
  <c r="F267" i="5"/>
  <c r="I268" i="5" s="1"/>
  <c r="J269" i="5" s="1"/>
  <c r="I151" i="5"/>
  <c r="F93" i="5"/>
  <c r="F101" i="5" s="1"/>
  <c r="F320" i="5"/>
  <c r="J320" i="5" s="1"/>
  <c r="G332" i="5" s="1"/>
  <c r="F300" i="5"/>
  <c r="J300" i="5" s="1"/>
  <c r="G312" i="5" s="1"/>
  <c r="G126" i="5"/>
  <c r="H127" i="5" s="1"/>
  <c r="L128" i="5" s="1"/>
  <c r="I150" i="5"/>
  <c r="H267" i="5" s="1"/>
  <c r="M143" i="5"/>
  <c r="J148" i="5"/>
  <c r="J149" i="5" s="1"/>
  <c r="H148" i="5"/>
  <c r="H149" i="5" s="1"/>
  <c r="F264" i="5" s="1"/>
  <c r="F147" i="3"/>
  <c r="H147" i="3" s="1"/>
  <c r="H152" i="3" s="1"/>
  <c r="U152" i="3" s="1"/>
  <c r="G154" i="3" s="1"/>
  <c r="L154" i="3" s="1"/>
  <c r="O218" i="3"/>
  <c r="Q218" i="3" s="1"/>
  <c r="H210" i="3"/>
  <c r="J210" i="3" s="1"/>
  <c r="I142" i="3"/>
  <c r="L141" i="3" s="1"/>
  <c r="U141" i="3" s="1"/>
  <c r="G144" i="3" s="1"/>
  <c r="H133" i="3"/>
  <c r="K134" i="3" s="1"/>
  <c r="L134" i="3" s="1"/>
  <c r="H277" i="3" l="1"/>
  <c r="I277" i="3" s="1"/>
  <c r="J277" i="3" s="1"/>
  <c r="I276" i="3"/>
  <c r="J276" i="3" s="1"/>
  <c r="L144" i="3"/>
  <c r="H278" i="3"/>
  <c r="I278" i="3" s="1"/>
  <c r="J278" i="3" s="1"/>
  <c r="F270" i="5"/>
  <c r="G271" i="5" s="1"/>
  <c r="J151" i="5"/>
  <c r="G268" i="5"/>
  <c r="G94" i="5"/>
  <c r="K95" i="5" s="1"/>
  <c r="O95" i="5" s="1"/>
  <c r="K267" i="5"/>
  <c r="L267" i="5" s="1"/>
  <c r="I265" i="5"/>
  <c r="J266" i="5" s="1"/>
  <c r="G265" i="5"/>
  <c r="G134" i="5"/>
  <c r="H150" i="5"/>
  <c r="H264" i="5" s="1"/>
  <c r="H151" i="5"/>
  <c r="J150" i="5"/>
  <c r="H270" i="5" s="1"/>
  <c r="P128" i="5"/>
  <c r="I132" i="5"/>
  <c r="K132" i="5" s="1"/>
  <c r="H136" i="5" s="1"/>
  <c r="G148" i="3"/>
  <c r="K149" i="3" s="1"/>
  <c r="M342" i="5" l="1"/>
  <c r="M343" i="5"/>
  <c r="M345" i="5"/>
  <c r="M344" i="5"/>
  <c r="J264" i="5"/>
  <c r="J267" i="5"/>
  <c r="M267" i="5" s="1"/>
  <c r="I271" i="5"/>
  <c r="J272" i="5" s="1"/>
  <c r="H269" i="5"/>
  <c r="K269" i="5" s="1"/>
  <c r="L269" i="5" s="1"/>
  <c r="M269" i="5" s="1"/>
  <c r="I344" i="5" s="1"/>
  <c r="I345" i="5" s="1"/>
  <c r="H272" i="5"/>
  <c r="J270" i="5"/>
  <c r="K270" i="5"/>
  <c r="L270" i="5" s="1"/>
  <c r="L95" i="5"/>
  <c r="H99" i="5"/>
  <c r="J99" i="5" s="1"/>
  <c r="G103" i="5" s="1"/>
  <c r="I102" i="5" s="1"/>
  <c r="G148" i="5" s="1"/>
  <c r="G149" i="5" s="1"/>
  <c r="F261" i="5" s="1"/>
  <c r="K264" i="5"/>
  <c r="L264" i="5" s="1"/>
  <c r="J135" i="5"/>
  <c r="F148" i="5" s="1"/>
  <c r="F149" i="5" s="1"/>
  <c r="F258" i="5" s="1"/>
  <c r="H266" i="5"/>
  <c r="M264" i="5" l="1"/>
  <c r="M270" i="5"/>
  <c r="K272" i="5"/>
  <c r="L272" i="5" s="1"/>
  <c r="M272" i="5" s="1"/>
  <c r="H105" i="5"/>
  <c r="L106" i="5" s="1"/>
  <c r="O106" i="5" s="1"/>
  <c r="I138" i="5"/>
  <c r="M139" i="5" s="1"/>
  <c r="P139" i="5" s="1"/>
  <c r="K266" i="5"/>
  <c r="L266" i="5" s="1"/>
  <c r="M266" i="5" s="1"/>
  <c r="I342" i="5" s="1"/>
  <c r="I343" i="5" s="1"/>
  <c r="I262" i="5"/>
  <c r="J263" i="5" s="1"/>
  <c r="G262" i="5"/>
  <c r="I259" i="5"/>
  <c r="J260" i="5" s="1"/>
  <c r="G259" i="5"/>
  <c r="F150" i="5"/>
  <c r="I230" i="5"/>
  <c r="L231" i="5" s="1"/>
  <c r="N231" i="5" s="1"/>
  <c r="F151" i="5"/>
  <c r="G150" i="5"/>
  <c r="F242" i="5"/>
  <c r="L243" i="5" s="1"/>
  <c r="N243" i="5" s="1"/>
  <c r="G151" i="5"/>
  <c r="M341" i="5" l="1"/>
  <c r="M340" i="5"/>
  <c r="J258" i="5"/>
  <c r="J261" i="5"/>
  <c r="J333" i="5"/>
  <c r="J313" i="5"/>
  <c r="K230" i="5"/>
  <c r="H240" i="5" s="1"/>
  <c r="H258" i="5"/>
  <c r="H242" i="5"/>
  <c r="H250" i="5" s="1"/>
  <c r="H261" i="5"/>
  <c r="J163" i="5"/>
  <c r="L163" i="5" s="1"/>
  <c r="N163" i="5" s="1"/>
  <c r="J240" i="5"/>
  <c r="G237" i="5"/>
  <c r="H234" i="5"/>
  <c r="H246" i="5"/>
  <c r="J250" i="5"/>
  <c r="H263" i="5" l="1"/>
  <c r="K261" i="5"/>
  <c r="L261" i="5" s="1"/>
  <c r="M261" i="5" s="1"/>
  <c r="H260" i="5"/>
  <c r="K258" i="5"/>
  <c r="L258" i="5" s="1"/>
  <c r="M258" i="5" s="1"/>
  <c r="G245" i="5"/>
  <c r="I245" i="5" s="1"/>
  <c r="G249" i="5" s="1"/>
  <c r="G233" i="5"/>
  <c r="I233" i="5" s="1"/>
  <c r="F237" i="5" s="1"/>
  <c r="I237" i="5" s="1"/>
  <c r="K237" i="5" s="1"/>
  <c r="E238" i="5" s="1"/>
  <c r="J170" i="5"/>
  <c r="J200" i="5" s="1"/>
  <c r="I192" i="5"/>
  <c r="R163" i="5"/>
  <c r="S163" i="5" s="1"/>
  <c r="H221" i="5" l="1"/>
  <c r="I222" i="5" s="1"/>
  <c r="K350" i="5"/>
  <c r="M350" i="5" s="1"/>
  <c r="K260" i="5"/>
  <c r="L260" i="5" s="1"/>
  <c r="M260" i="5" s="1"/>
  <c r="K263" i="5"/>
  <c r="L263" i="5" s="1"/>
  <c r="M263" i="5" s="1"/>
  <c r="L288" i="5" s="1"/>
  <c r="J245" i="5"/>
  <c r="H172" i="5"/>
  <c r="J172" i="5" s="1"/>
  <c r="L172" i="5" s="1"/>
  <c r="G239" i="5"/>
  <c r="H181" i="5"/>
  <c r="J186" i="5" s="1"/>
  <c r="I249" i="5"/>
  <c r="I250" i="5" s="1"/>
  <c r="L250" i="5" s="1"/>
  <c r="N250" i="5" s="1"/>
  <c r="H217" i="5"/>
  <c r="J217" i="5" s="1"/>
  <c r="I173" i="5"/>
  <c r="K173" i="5" s="1"/>
  <c r="M173" i="5" s="1"/>
  <c r="I239" i="5"/>
  <c r="I240" i="5" s="1"/>
  <c r="L240" i="5" s="1"/>
  <c r="N240" i="5" s="1"/>
  <c r="I340" i="5" l="1"/>
  <c r="I341" i="5"/>
  <c r="L292" i="5"/>
  <c r="K294" i="5" s="1"/>
  <c r="K290" i="5"/>
  <c r="H186" i="5"/>
  <c r="G187" i="5" s="1"/>
  <c r="F202" i="5" s="1"/>
  <c r="H174" i="5"/>
  <c r="G189" i="5" l="1"/>
  <c r="E192" i="5" s="1"/>
  <c r="G192" i="5" s="1"/>
  <c r="D193" i="5" s="1"/>
  <c r="G214" i="5"/>
  <c r="I213" i="5" s="1"/>
  <c r="J224" i="5" s="1"/>
  <c r="I224" i="5" s="1"/>
  <c r="F225" i="5" l="1"/>
  <c r="K226" i="5" s="1"/>
  <c r="H304" i="5" s="1"/>
  <c r="G309" i="5" s="1"/>
  <c r="I308" i="5" s="1"/>
  <c r="K308" i="5" s="1"/>
  <c r="H314" i="5" s="1"/>
  <c r="L313" i="5" s="1"/>
  <c r="N313" i="5" s="1"/>
  <c r="F193" i="5"/>
  <c r="F194" i="5" s="1"/>
  <c r="H324" i="5" l="1"/>
  <c r="G329" i="5" s="1"/>
  <c r="I328" i="5" s="1"/>
  <c r="K328" i="5" s="1"/>
  <c r="H334" i="5" l="1"/>
  <c r="L333" i="5" s="1"/>
  <c r="N333" i="5" s="1"/>
  <c r="O340" i="5"/>
  <c r="L340" i="5" s="1"/>
  <c r="O346" i="5" l="1"/>
  <c r="O344" i="5"/>
  <c r="L344" i="5" s="1"/>
  <c r="O345" i="5"/>
  <c r="L345" i="5" s="1"/>
  <c r="O343" i="5"/>
  <c r="L343" i="5" s="1"/>
  <c r="O342" i="5"/>
  <c r="L342" i="5" s="1"/>
  <c r="O341" i="5"/>
  <c r="L341" i="5" s="1"/>
</calcChain>
</file>

<file path=xl/sharedStrings.xml><?xml version="1.0" encoding="utf-8"?>
<sst xmlns="http://schemas.openxmlformats.org/spreadsheetml/2006/main" count="1106" uniqueCount="623">
  <si>
    <t>THUYẾT MINH ĐỒ ÁN SÀN SƯỜN BÊ TÔNG CỐT THÉP TOÀN KHỐI</t>
  </si>
  <si>
    <t>I.</t>
  </si>
  <si>
    <t>SỐ LIỆU TÍNH TOÁN</t>
  </si>
  <si>
    <t>Tiết diện cột</t>
  </si>
  <si>
    <t>L1 
(m)</t>
  </si>
  <si>
    <t>L2 
(m)</t>
  </si>
  <si>
    <t>Hoạt tải tiêu chuẩn</t>
  </si>
  <si>
    <r>
      <t>b</t>
    </r>
    <r>
      <rPr>
        <vertAlign val="subscript"/>
        <sz val="12"/>
        <color theme="1"/>
        <rFont val="Arial"/>
        <family val="2"/>
      </rPr>
      <t>c</t>
    </r>
    <r>
      <rPr>
        <sz val="12"/>
        <color theme="1"/>
        <rFont val="Arial"/>
        <family val="2"/>
      </rPr>
      <t xml:space="preserve"> x h</t>
    </r>
    <r>
      <rPr>
        <vertAlign val="subscript"/>
        <sz val="12"/>
        <color theme="1"/>
        <rFont val="Arial"/>
        <family val="2"/>
      </rPr>
      <t>c</t>
    </r>
  </si>
  <si>
    <t>(mm)</t>
  </si>
  <si>
    <r>
      <t>p</t>
    </r>
    <r>
      <rPr>
        <vertAlign val="superscript"/>
        <sz val="12"/>
        <color theme="1"/>
        <rFont val="Arial"/>
        <family val="2"/>
      </rPr>
      <t>tc</t>
    </r>
  </si>
  <si>
    <r>
      <t>(kN/m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</si>
  <si>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t>B</t>
  </si>
  <si>
    <t>NHẬP SỐ LIỆU ĐƯỢC GIAO</t>
  </si>
  <si>
    <t xml:space="preserve">Cấp độ bền 
</t>
  </si>
  <si>
    <t xml:space="preserve"> của bêtông</t>
  </si>
  <si>
    <t>I:</t>
  </si>
  <si>
    <t>II:</t>
  </si>
  <si>
    <t>VẬT LIỆU SỬ DỤNG</t>
  </si>
  <si>
    <t>1,</t>
  </si>
  <si>
    <t>- Thép dọc dầm dùng nhóm :</t>
  </si>
  <si>
    <t>- Thép bản và đai dầm dùng nhóm :</t>
  </si>
  <si>
    <t>2,</t>
  </si>
  <si>
    <t>Bề dày tường là :</t>
  </si>
  <si>
    <t xml:space="preserve">Lớp gạch lát dày </t>
  </si>
  <si>
    <t>các lớp hoàn thiện sàn</t>
  </si>
  <si>
    <t>bề dày</t>
  </si>
  <si>
    <t>mm</t>
  </si>
  <si>
    <t>trọng</t>
  </si>
  <si>
    <t>hệ số</t>
  </si>
  <si>
    <t>vượt tải</t>
  </si>
  <si>
    <r>
      <t>(kN/m</t>
    </r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>)</t>
    </r>
  </si>
  <si>
    <t xml:space="preserve">dung
trọng </t>
  </si>
  <si>
    <t xml:space="preserve">Lớp vữa lót </t>
  </si>
  <si>
    <t>Sàn bêtông cốt thép</t>
  </si>
  <si>
    <t>Lớp vữa trát trần</t>
  </si>
  <si>
    <t>Tổng cộng</t>
  </si>
  <si>
    <t>HƯỚNG DẪN NHẬP VÀ DÙNG</t>
  </si>
  <si>
    <t>Ô màu xanh lam: nhập vào bằng bàn phím</t>
  </si>
  <si>
    <t>Ô màu xanh lục: kích chuột vào và chọn giá trị trong danh sách xổ xuống</t>
  </si>
  <si>
    <t>Các ô màu khác không liên quan thì đừng động đến</t>
  </si>
  <si>
    <t>Nhập dữ liệu xong thì chuyển sang các sheet tiếp theo để xem kết quả tính</t>
  </si>
  <si>
    <t>1, Sơ đồ kết cấu sàn</t>
  </si>
  <si>
    <t>(theo hình vẽ)</t>
  </si>
  <si>
    <t>2, Kích thước</t>
  </si>
  <si>
    <t xml:space="preserve">Tính từ trục tường và trục dầm: L1 = </t>
  </si>
  <si>
    <t>L2 =</t>
  </si>
  <si>
    <t>m;</t>
  </si>
  <si>
    <t>Tường chịu lực có chiều dày</t>
  </si>
  <si>
    <r>
      <t>b</t>
    </r>
    <r>
      <rPr>
        <vertAlign val="subscript"/>
        <sz val="12"/>
        <color theme="1"/>
        <rFont val="Arial"/>
        <family val="2"/>
      </rPr>
      <t>t</t>
    </r>
    <r>
      <rPr>
        <sz val="12"/>
        <color theme="1"/>
        <rFont val="Arial"/>
        <family val="2"/>
      </rPr>
      <t xml:space="preserve"> =</t>
    </r>
  </si>
  <si>
    <r>
      <t>Cột bê tông cốt thép có tiết diện b</t>
    </r>
    <r>
      <rPr>
        <vertAlign val="subscript"/>
        <sz val="12"/>
        <color theme="1"/>
        <rFont val="Arial"/>
        <family val="2"/>
      </rPr>
      <t>c</t>
    </r>
    <r>
      <rPr>
        <sz val="12"/>
        <color theme="1"/>
        <rFont val="Arial"/>
        <family val="2"/>
      </rPr>
      <t xml:space="preserve"> x h</t>
    </r>
    <r>
      <rPr>
        <vertAlign val="subscript"/>
        <sz val="12"/>
        <color theme="1"/>
        <rFont val="Arial"/>
        <family val="2"/>
      </rPr>
      <t xml:space="preserve">c </t>
    </r>
  </si>
  <si>
    <t>m.</t>
  </si>
  <si>
    <t>3, Cấu tạo mặt sàn</t>
  </si>
  <si>
    <t>Gồm 4 lớp như hình vẽ</t>
  </si>
  <si>
    <t>Dầm phụ mấy nhịp :</t>
  </si>
  <si>
    <t>Dầm chính mấy nhịp :</t>
  </si>
  <si>
    <t>nhịp</t>
  </si>
  <si>
    <t xml:space="preserve">4, </t>
  </si>
  <si>
    <t>Vật liệu</t>
  </si>
  <si>
    <t>-  Bê tông cấp độ bền       B</t>
  </si>
  <si>
    <t>theo cường độ chịu nén có:</t>
  </si>
  <si>
    <r>
      <t>R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</si>
  <si>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r>
      <t>R</t>
    </r>
    <r>
      <rPr>
        <vertAlign val="subscript"/>
        <sz val="12"/>
        <color theme="1"/>
        <rFont val="Arial"/>
        <family val="2"/>
      </rPr>
      <t>bt</t>
    </r>
    <r>
      <rPr>
        <sz val="12"/>
        <color theme="1"/>
        <rFont val="Arial"/>
        <family val="2"/>
      </rPr>
      <t xml:space="preserve"> =</t>
    </r>
  </si>
  <si>
    <r>
      <t>E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</si>
  <si>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r>
      <t>.10^</t>
    </r>
    <r>
      <rPr>
        <vertAlign val="superscript"/>
        <sz val="12"/>
        <color theme="1"/>
        <rFont val="Arial"/>
        <family val="2"/>
      </rPr>
      <t>4</t>
    </r>
  </si>
  <si>
    <t>Mpa;</t>
  </si>
  <si>
    <t>có :</t>
  </si>
  <si>
    <r>
      <t>R</t>
    </r>
    <r>
      <rPr>
        <vertAlign val="subscript"/>
        <sz val="12"/>
        <color theme="1"/>
        <rFont val="Arial"/>
        <family val="2"/>
      </rPr>
      <t>s</t>
    </r>
    <r>
      <rPr>
        <sz val="12"/>
        <color theme="1"/>
        <rFont val="Arial"/>
        <family val="2"/>
      </rPr>
      <t xml:space="preserve"> =</t>
    </r>
  </si>
  <si>
    <r>
      <t>R</t>
    </r>
    <r>
      <rPr>
        <vertAlign val="subscript"/>
        <sz val="12"/>
        <color theme="1"/>
        <rFont val="Arial"/>
        <family val="2"/>
      </rPr>
      <t>sc</t>
    </r>
    <r>
      <rPr>
        <sz val="12"/>
        <color theme="1"/>
        <rFont val="Arial"/>
        <family val="2"/>
      </rPr>
      <t xml:space="preserve"> =</t>
    </r>
  </si>
  <si>
    <r>
      <t>R</t>
    </r>
    <r>
      <rPr>
        <vertAlign val="subscript"/>
        <sz val="12"/>
        <color theme="1"/>
        <rFont val="Arial"/>
        <family val="2"/>
      </rPr>
      <t>sw</t>
    </r>
    <r>
      <rPr>
        <sz val="12"/>
        <color theme="1"/>
        <rFont val="Arial"/>
        <family val="2"/>
      </rPr>
      <t xml:space="preserve"> =</t>
    </r>
  </si>
  <si>
    <r>
      <t>E</t>
    </r>
    <r>
      <rPr>
        <vertAlign val="subscript"/>
        <sz val="12"/>
        <color theme="1"/>
        <rFont val="Arial"/>
        <family val="2"/>
      </rPr>
      <t>s</t>
    </r>
    <r>
      <rPr>
        <sz val="12"/>
        <color theme="1"/>
        <rFont val="Arial"/>
        <family val="2"/>
      </rPr>
      <t xml:space="preserve"> =</t>
    </r>
  </si>
  <si>
    <r>
      <t>.10^</t>
    </r>
    <r>
      <rPr>
        <vertAlign val="superscript"/>
        <sz val="12"/>
        <color theme="1"/>
        <rFont val="Arial"/>
        <family val="2"/>
      </rPr>
      <t>3</t>
    </r>
  </si>
  <si>
    <t>II.</t>
  </si>
  <si>
    <t>TÍNH BẢN</t>
  </si>
  <si>
    <t>Chọn kích thước các cấu kiện</t>
  </si>
  <si>
    <t>- Chiều dày của bản:</t>
  </si>
  <si>
    <t>------------</t>
  </si>
  <si>
    <t>=</t>
  </si>
  <si>
    <t>mm;</t>
  </si>
  <si>
    <t xml:space="preserve">Chọn </t>
  </si>
  <si>
    <r>
      <t>h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>=</t>
    </r>
  </si>
  <si>
    <t>mm.</t>
  </si>
  <si>
    <t>Trong đó   D =</t>
  </si>
  <si>
    <t>với tải trọng trung bình, m =</t>
  </si>
  <si>
    <t>với bản liên tục.</t>
  </si>
  <si>
    <t>- Chọn tiết diện dầm phụ:</t>
  </si>
  <si>
    <t>- Chọn tiết diện dầm chính:</t>
  </si>
  <si>
    <r>
      <t>h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>=</t>
    </r>
  </si>
  <si>
    <r>
      <t>b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>=</t>
    </r>
  </si>
  <si>
    <t xml:space="preserve">mm; </t>
  </si>
  <si>
    <t>Sơ đồ tính</t>
  </si>
  <si>
    <t>- Xét tỷ số 2 cạnh ô bản:</t>
  </si>
  <si>
    <t>---------- =</t>
  </si>
  <si>
    <t>- Cắt một dải bản rộng b =</t>
  </si>
  <si>
    <t>mm, vuông góc với dầm phụ và xem dải bản làm việc như một dầm liên tục</t>
  </si>
  <si>
    <t>Nhịp tính toán của bản:</t>
  </si>
  <si>
    <t xml:space="preserve">- Nhịp biên: </t>
  </si>
  <si>
    <t>-  --------  -  --------  + -------- =</t>
  </si>
  <si>
    <t>- Nhịp giữa:</t>
  </si>
  <si>
    <r>
      <t>l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l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– b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=</t>
    </r>
  </si>
  <si>
    <t>-</t>
  </si>
  <si>
    <t>------------------------------------ . 100 % =</t>
  </si>
  <si>
    <t>&lt; 10%</t>
  </si>
  <si>
    <t>- Chênh lệch giữa các nhịp là:</t>
  </si>
  <si>
    <t>3,</t>
  </si>
  <si>
    <t>Tải trọng tính toán</t>
  </si>
  <si>
    <t>Tải trọng của bản gồm tĩnh tả và hoạt tải</t>
  </si>
  <si>
    <t>Các lớp cấu tạo bản</t>
  </si>
  <si>
    <t>dung</t>
  </si>
  <si>
    <t>giá trị tiêu chuẩn</t>
  </si>
  <si>
    <t>giá trị tính toán</t>
  </si>
  <si>
    <t>Lớp vữa lót</t>
  </si>
  <si>
    <t xml:space="preserve">Sàn bê tông cốt thép </t>
  </si>
  <si>
    <r>
      <t>h</t>
    </r>
    <r>
      <rPr>
        <vertAlign val="subscript"/>
        <sz val="12"/>
        <color theme="1"/>
        <rFont val="Arial"/>
        <family val="2"/>
      </rPr>
      <t>b</t>
    </r>
  </si>
  <si>
    <t xml:space="preserve">độ tin cậy </t>
  </si>
  <si>
    <t>Lớp gạch lát</t>
  </si>
  <si>
    <r>
      <t>g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</si>
  <si>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t xml:space="preserve">Hoạt tải </t>
  </si>
  <si>
    <r>
      <t>p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</si>
  <si>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r>
      <t>p</t>
    </r>
    <r>
      <rPr>
        <vertAlign val="superscript"/>
        <sz val="12"/>
        <color theme="1"/>
        <rFont val="Arial"/>
        <family val="2"/>
      </rPr>
      <t xml:space="preserve">tc </t>
    </r>
    <r>
      <rPr>
        <vertAlign val="subscript"/>
        <sz val="12"/>
        <color theme="1"/>
        <rFont val="Arial"/>
        <family val="2"/>
      </rPr>
      <t>x</t>
    </r>
    <r>
      <rPr>
        <sz val="12"/>
        <color theme="1"/>
        <rFont val="Arial"/>
        <family val="2"/>
      </rPr>
      <t>n =</t>
    </r>
  </si>
  <si>
    <t>x</t>
  </si>
  <si>
    <t>Hệ số vượt tải của hoạt tải:        n =</t>
  </si>
  <si>
    <r>
      <t>q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 g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+ p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</si>
  <si>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t>Tải trọng toàn phần :</t>
  </si>
  <si>
    <t>+</t>
  </si>
  <si>
    <t xml:space="preserve">Tính toán với dải bản rộng </t>
  </si>
  <si>
    <r>
      <t>b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=</t>
    </r>
  </si>
  <si>
    <t>m</t>
  </si>
  <si>
    <r>
      <t>q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</si>
  <si>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r>
      <t>kN/m</t>
    </r>
    <r>
      <rPr>
        <vertAlign val="superscript"/>
        <sz val="12"/>
        <color theme="1"/>
        <rFont val="Arial"/>
        <family val="2"/>
      </rPr>
      <t>2</t>
    </r>
  </si>
  <si>
    <t xml:space="preserve">x </t>
  </si>
  <si>
    <t>m     =</t>
  </si>
  <si>
    <t>kN/m</t>
  </si>
  <si>
    <t>4,</t>
  </si>
  <si>
    <t>Nội lực tính toán</t>
  </si>
  <si>
    <t xml:space="preserve">- Mômen uốn tại nhịp biên và gối thứ 2: </t>
  </si>
  <si>
    <t>----------------------------------- =</t>
  </si>
  <si>
    <t>kNm</t>
  </si>
  <si>
    <t xml:space="preserve">- Mômen uốn tại nhịp giữa và gối giữa: </t>
  </si>
  <si>
    <t>- Giá trị lực cắt:</t>
  </si>
  <si>
    <t>*</t>
  </si>
  <si>
    <t>kN</t>
  </si>
  <si>
    <r>
      <t>Q</t>
    </r>
    <r>
      <rPr>
        <vertAlign val="subscript"/>
        <sz val="12"/>
        <color theme="1"/>
        <rFont val="Arial"/>
        <family val="2"/>
      </rPr>
      <t>M</t>
    </r>
    <r>
      <rPr>
        <sz val="12"/>
        <color theme="1"/>
        <rFont val="Arial"/>
        <family val="2"/>
      </rPr>
      <t xml:space="preserve"> = 0,4 x q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x l</t>
    </r>
    <r>
      <rPr>
        <vertAlign val="subscript"/>
        <sz val="12"/>
        <color theme="1"/>
        <rFont val="Arial"/>
        <family val="2"/>
      </rPr>
      <t xml:space="preserve">ob </t>
    </r>
    <r>
      <rPr>
        <sz val="12"/>
        <color theme="1"/>
        <rFont val="Arial"/>
        <family val="2"/>
      </rPr>
      <t>=</t>
    </r>
  </si>
  <si>
    <r>
      <t>0,5 x q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x l</t>
    </r>
    <r>
      <rPr>
        <vertAlign val="subscript"/>
        <sz val="12"/>
        <color theme="1"/>
        <rFont val="Arial"/>
        <family val="2"/>
      </rPr>
      <t xml:space="preserve">o </t>
    </r>
    <r>
      <rPr>
        <sz val="12"/>
        <color theme="1"/>
        <rFont val="Arial"/>
        <family val="2"/>
      </rPr>
      <t>=</t>
    </r>
  </si>
  <si>
    <t>5,</t>
  </si>
  <si>
    <t>Tính cốt thép chịu mômen uốn</t>
  </si>
  <si>
    <t>Chọn a =</t>
  </si>
  <si>
    <t>mm cho mọi tiết diện, chiều cao làm việc của bản:</t>
  </si>
  <si>
    <r>
      <t>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h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– a =</t>
    </r>
  </si>
  <si>
    <t>kNm;</t>
  </si>
  <si>
    <t>Tại gối biên và nhịp biên, với M =</t>
  </si>
  <si>
    <t>------------------------------------------------------------  =</t>
  </si>
  <si>
    <t>Nmm</t>
  </si>
  <si>
    <t xml:space="preserve">^2          </t>
  </si>
  <si>
    <t>-------------------------------------------------------------  =</t>
  </si>
  <si>
    <r>
      <t>mm</t>
    </r>
    <r>
      <rPr>
        <vertAlign val="superscript"/>
        <sz val="12"/>
        <color theme="1"/>
        <rFont val="Arial"/>
        <family val="2"/>
      </rPr>
      <t>2</t>
    </r>
  </si>
  <si>
    <t>-------------------------------------- x 100 %=</t>
  </si>
  <si>
    <t xml:space="preserve">Chọn thép có đường kính </t>
  </si>
  <si>
    <t xml:space="preserve">mm, </t>
  </si>
  <si>
    <r>
      <t>a</t>
    </r>
    <r>
      <rPr>
        <vertAlign val="subscript"/>
        <sz val="12"/>
        <color theme="1"/>
        <rFont val="Arial"/>
        <family val="2"/>
      </rPr>
      <t xml:space="preserve">s </t>
    </r>
    <r>
      <rPr>
        <sz val="12"/>
        <color theme="1"/>
        <rFont val="Arial"/>
        <family val="2"/>
      </rPr>
      <t>=</t>
    </r>
  </si>
  <si>
    <t>khoảng cách giữa các cốt thép:</t>
  </si>
  <si>
    <t>(</t>
  </si>
  <si>
    <t>)</t>
  </si>
  <si>
    <t xml:space="preserve">      -------------------------------------------------------  =</t>
  </si>
  <si>
    <r>
      <t xml:space="preserve">Chọn </t>
    </r>
    <r>
      <rPr>
        <b/>
        <sz val="12"/>
        <color theme="1"/>
        <rFont val="Symbol"/>
        <family val="1"/>
        <charset val="2"/>
      </rPr>
      <t xml:space="preserve"> f</t>
    </r>
  </si>
  <si>
    <t>s =</t>
  </si>
  <si>
    <t>-&gt;</t>
  </si>
  <si>
    <t>Tại gối giữa và nhịp giữa, với M =</t>
  </si>
  <si>
    <t>Tại gối giữa và nhịp giữa trong vùng được phép giảm lượng cốt thép đến tối đa 20%</t>
  </si>
  <si>
    <r>
      <t xml:space="preserve">As = 0.8 </t>
    </r>
    <r>
      <rPr>
        <sz val="8"/>
        <color theme="1"/>
        <rFont val="Arial"/>
        <family val="2"/>
      </rPr>
      <t>x</t>
    </r>
  </si>
  <si>
    <r>
      <t>m</t>
    </r>
    <r>
      <rPr>
        <sz val="12"/>
        <color theme="1"/>
        <rFont val="Arial"/>
        <family val="2"/>
      </rPr>
      <t>% =</t>
    </r>
  </si>
  <si>
    <r>
      <t xml:space="preserve">------------------------------------- </t>
    </r>
    <r>
      <rPr>
        <sz val="8"/>
        <color theme="1"/>
        <rFont val="Arial"/>
        <family val="2"/>
      </rPr>
      <t>x</t>
    </r>
  </si>
  <si>
    <r>
      <t>Chọn</t>
    </r>
    <r>
      <rPr>
        <sz val="12"/>
        <color theme="1"/>
        <rFont val="Symbol"/>
        <family val="1"/>
        <charset val="2"/>
      </rPr>
      <t xml:space="preserve"> f</t>
    </r>
  </si>
  <si>
    <t>--&gt; s =</t>
  </si>
  <si>
    <t xml:space="preserve">Kiểm tra lại chiều cao làm việc </t>
  </si>
  <si>
    <r>
      <t>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h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– 10 – 0,5. </t>
    </r>
    <r>
      <rPr>
        <sz val="12"/>
        <color theme="1"/>
        <rFont val="Symbol"/>
        <family val="1"/>
        <charset val="2"/>
      </rPr>
      <t>f</t>
    </r>
    <r>
      <rPr>
        <vertAlign val="subscript"/>
        <sz val="12"/>
        <color theme="1"/>
        <rFont val="Arial"/>
        <family val="2"/>
      </rPr>
      <t>max</t>
    </r>
    <r>
      <rPr>
        <sz val="12"/>
        <color theme="1"/>
        <rFont val="Arial"/>
        <family val="2"/>
      </rPr>
      <t xml:space="preserve"> =</t>
    </r>
  </si>
  <si>
    <t xml:space="preserve">Lấy lớp bảo vệ là </t>
  </si>
  <si>
    <t>mm,</t>
  </si>
  <si>
    <r>
      <t xml:space="preserve">0,5    </t>
    </r>
    <r>
      <rPr>
        <sz val="8"/>
        <color theme="1"/>
        <rFont val="Arial"/>
        <family val="2"/>
      </rPr>
      <t>x</t>
    </r>
  </si>
  <si>
    <t xml:space="preserve">Như vậy trị số đã dùng trong tính toán là </t>
  </si>
  <si>
    <r>
      <t>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</t>
    </r>
  </si>
  <si>
    <t xml:space="preserve">Cốt thép chịu mô men âm trên gối tựa được bố trí kéo dài ra khỏi mép gối một đoạn là </t>
  </si>
  <si>
    <r>
      <t>v.l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</t>
    </r>
  </si>
  <si>
    <t>Với tỷ số</t>
  </si>
  <si>
    <r>
      <t>p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>/g</t>
    </r>
    <r>
      <rPr>
        <vertAlign val="subscript"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=</t>
    </r>
  </si>
  <si>
    <t>/</t>
  </si>
  <si>
    <t>, trị số  v =</t>
  </si>
  <si>
    <t>Đoạn vươn của cốt thép ra khỏi gối:</t>
  </si>
  <si>
    <t>+,</t>
  </si>
  <si>
    <t>Tính từ mép  dầm phụ là:</t>
  </si>
  <si>
    <t>Tính từ trục dầm phụ là:</t>
  </si>
  <si>
    <r>
      <t>v.l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+ 0,5.b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>=</t>
    </r>
  </si>
  <si>
    <r>
      <t xml:space="preserve">+ 0,5 </t>
    </r>
    <r>
      <rPr>
        <sz val="8"/>
        <color theme="1"/>
        <rFont val="Arial"/>
        <family val="2"/>
      </rPr>
      <t>x</t>
    </r>
  </si>
  <si>
    <t>Thép dọc chịu mômen âm được đặt xen kẽ nhau, đoạn vươn của cốt thép ngắn hơn:</t>
  </si>
  <si>
    <t>+ 0,5  .</t>
  </si>
  <si>
    <t>Thép dọc chịu mômen dương được đặt xen kẽ nhau, khoảng cách từ đầu mút của cốt thép ngắn hơn:</t>
  </si>
  <si>
    <t>Đến mép tường là:</t>
  </si>
  <si>
    <t>Đến mép dầm phụ là:</t>
  </si>
  <si>
    <t>Kiểm tra khả năng chịu cắt của bản:</t>
  </si>
  <si>
    <r>
      <t>Q</t>
    </r>
    <r>
      <rPr>
        <vertAlign val="subscript"/>
        <sz val="12"/>
        <color theme="1"/>
        <rFont val="Arial"/>
        <family val="2"/>
      </rPr>
      <t>bmin</t>
    </r>
    <r>
      <rPr>
        <sz val="12"/>
        <color theme="1"/>
        <rFont val="Arial"/>
        <family val="2"/>
      </rPr>
      <t xml:space="preserve"> =</t>
    </r>
  </si>
  <si>
    <t xml:space="preserve">kN    </t>
  </si>
  <si>
    <r>
      <t>Q</t>
    </r>
    <r>
      <rPr>
        <vertAlign val="subscript"/>
        <sz val="12"/>
        <color theme="1"/>
        <rFont val="Arial"/>
        <family val="2"/>
      </rPr>
      <t>bmin</t>
    </r>
    <r>
      <rPr>
        <sz val="12"/>
        <color theme="1"/>
        <rFont val="Arial"/>
        <family val="2"/>
      </rPr>
      <t xml:space="preserve"> = 0,8 . R</t>
    </r>
    <r>
      <rPr>
        <vertAlign val="subscript"/>
        <sz val="12"/>
        <color theme="1"/>
        <rFont val="Arial"/>
        <family val="2"/>
      </rPr>
      <t>bt</t>
    </r>
    <r>
      <rPr>
        <sz val="12"/>
        <color theme="1"/>
        <rFont val="Arial"/>
        <family val="2"/>
      </rPr>
      <t xml:space="preserve"> . b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. 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</t>
    </r>
  </si>
  <si>
    <t>Bản không bố trí cốt đai nên lực cắt cảu bản hoàn toàn do bêtông chịu, ta có:</t>
  </si>
  <si>
    <t>N      =</t>
  </si>
  <si>
    <t>6,</t>
  </si>
  <si>
    <t>Cốt thép cấu tạo</t>
  </si>
  <si>
    <t>Cốt thép chịu mômen âm đặt theo phương vuông góc với dầm chính:</t>
  </si>
  <si>
    <r>
      <t>Chọn</t>
    </r>
    <r>
      <rPr>
        <sz val="12"/>
        <color theme="1"/>
        <rFont val="Symbol"/>
        <family val="1"/>
        <charset val="2"/>
      </rPr>
      <t xml:space="preserve"> f</t>
    </r>
    <r>
      <rPr>
        <sz val="12"/>
        <color theme="1"/>
        <rFont val="Arial"/>
        <family val="2"/>
      </rPr>
      <t xml:space="preserve"> 6, s =200mm có diện tích trên mỗi mét của dải bản là 141</t>
    </r>
  </si>
  <si>
    <t>lớn hơn 50% diện tích cốt thép tính toán</t>
  </si>
  <si>
    <t>tại gối giữa của bản là :</t>
  </si>
  <si>
    <t xml:space="preserve">0,5 . </t>
  </si>
  <si>
    <t xml:space="preserve">sử dụng các thanh cốt mũ, đoạn vươn </t>
  </si>
  <si>
    <t>của cốt thép ra khỏi gối:</t>
  </si>
  <si>
    <t>Tính từ mép dầm chính là:</t>
  </si>
  <si>
    <t>Tính từ trục dầm chính là:</t>
  </si>
  <si>
    <t>+  0,5  .</t>
  </si>
  <si>
    <t>Cốt thép phân bố: được bố trí vuông góc với cốt thép chịu lực:</t>
  </si>
  <si>
    <t>đảm bảo</t>
  </si>
  <si>
    <r>
      <t>A</t>
    </r>
    <r>
      <rPr>
        <vertAlign val="subscript"/>
        <sz val="12"/>
        <color theme="1"/>
        <rFont val="Arial"/>
        <family val="2"/>
      </rPr>
      <t>sct</t>
    </r>
    <r>
      <rPr>
        <sz val="12"/>
        <color theme="1"/>
        <rFont val="Arial"/>
        <family val="2"/>
      </rPr>
      <t xml:space="preserve"> &gt; 20% diện tích cốt thép </t>
    </r>
  </si>
  <si>
    <t>tính toán tại giữa nhịp:</t>
  </si>
  <si>
    <t>( nhịp biên là  0,2 .</t>
  </si>
  <si>
    <t>; nhịp giữa là: 0,2.</t>
  </si>
  <si>
    <r>
      <t xml:space="preserve">Chọn </t>
    </r>
    <r>
      <rPr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6, s = 250 mm, có diện tích trên mỗi mét của dải bản là 113</t>
    </r>
  </si>
  <si>
    <t>III.</t>
  </si>
  <si>
    <t>TÍNH DẦM PHỤ</t>
  </si>
  <si>
    <t xml:space="preserve">- Dầm phụ là dầm liên tục </t>
  </si>
  <si>
    <t>nhịp đối xứng.</t>
  </si>
  <si>
    <t>- Xét một nửa dầm bên trái của dầm (hình vẽ)</t>
  </si>
  <si>
    <t xml:space="preserve">- Dầm gối lên tường một đoạn không nhỏ hơn 220 mm vì vậy trong tính toán lấy </t>
  </si>
  <si>
    <r>
      <t>S</t>
    </r>
    <r>
      <rPr>
        <vertAlign val="subscript"/>
        <sz val="12"/>
        <color theme="1"/>
        <rFont val="Arial"/>
        <family val="2"/>
      </rPr>
      <t>d</t>
    </r>
    <r>
      <rPr>
        <sz val="12"/>
        <color theme="1"/>
        <rFont val="Arial"/>
        <family val="2"/>
      </rPr>
      <t xml:space="preserve"> =</t>
    </r>
  </si>
  <si>
    <t xml:space="preserve">- Bề rộng của dầm chính </t>
  </si>
  <si>
    <r>
      <t>b</t>
    </r>
    <r>
      <rPr>
        <vertAlign val="subscript"/>
        <sz val="12"/>
        <color theme="1"/>
        <rFont val="Arial"/>
        <family val="2"/>
      </rPr>
      <t>dc</t>
    </r>
    <r>
      <rPr>
        <sz val="12"/>
        <color theme="1"/>
        <rFont val="Arial"/>
        <family val="2"/>
      </rPr>
      <t>=</t>
    </r>
  </si>
  <si>
    <r>
      <t>h</t>
    </r>
    <r>
      <rPr>
        <vertAlign val="subscript"/>
        <sz val="12"/>
        <color theme="1"/>
        <rFont val="Arial"/>
        <family val="2"/>
      </rPr>
      <t>dc</t>
    </r>
    <r>
      <rPr>
        <sz val="12"/>
        <color theme="1"/>
        <rFont val="Arial"/>
        <family val="2"/>
      </rPr>
      <t>=</t>
    </r>
  </si>
  <si>
    <t>* Nhịp tính toán của dầm phụ:</t>
  </si>
  <si>
    <t>- Nhịp biên:</t>
  </si>
  <si>
    <t>-------- +</t>
  </si>
  <si>
    <t>-------    -</t>
  </si>
  <si>
    <t>--------  =</t>
  </si>
  <si>
    <t>- Chênh lệch giữa các nhịp:</t>
  </si>
  <si>
    <t>). 100%</t>
  </si>
  <si>
    <t>* Tĩnh tải</t>
  </si>
  <si>
    <t>- Tải trọng bản thân dầm  (không kể phần bản dày</t>
  </si>
  <si>
    <t>mm):</t>
  </si>
  <si>
    <r>
      <t>g</t>
    </r>
    <r>
      <rPr>
        <vertAlign val="subscript"/>
        <sz val="12"/>
        <color theme="1"/>
        <rFont val="Arial"/>
        <family val="2"/>
      </rPr>
      <t>odc</t>
    </r>
    <r>
      <rPr>
        <sz val="12"/>
        <color theme="1"/>
        <rFont val="Arial"/>
        <family val="2"/>
      </rPr>
      <t>= b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(h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–h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>).</t>
    </r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Arial"/>
        <family val="2"/>
      </rPr>
      <t>.n =</t>
    </r>
  </si>
  <si>
    <t>) .</t>
  </si>
  <si>
    <t>- Tĩnh tải truyền từ bản:</t>
  </si>
  <si>
    <r>
      <t>g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. l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=</t>
    </r>
  </si>
  <si>
    <t>- Tĩnh tải toàn phần:</t>
  </si>
  <si>
    <r>
      <t>g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= g</t>
    </r>
    <r>
      <rPr>
        <vertAlign val="subscript"/>
        <sz val="12"/>
        <color theme="1"/>
        <rFont val="Arial"/>
        <family val="2"/>
      </rPr>
      <t>odp</t>
    </r>
    <r>
      <rPr>
        <sz val="12"/>
        <color theme="1"/>
        <rFont val="Arial"/>
        <family val="2"/>
      </rPr>
      <t xml:space="preserve"> +g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>l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=</t>
    </r>
  </si>
  <si>
    <t>kN/m.</t>
  </si>
  <si>
    <t>* Hoạt tải</t>
  </si>
  <si>
    <t>- Hoạt tải truyền từ bản:</t>
  </si>
  <si>
    <r>
      <t>p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= p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>.l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= </t>
    </r>
  </si>
  <si>
    <t>* Tải trọng tính toán toàn phần:</t>
  </si>
  <si>
    <r>
      <t>q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= g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+ p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= </t>
    </r>
  </si>
  <si>
    <t>- Tỷ số:</t>
  </si>
  <si>
    <r>
      <t>p</t>
    </r>
    <r>
      <rPr>
        <vertAlign val="subscript"/>
        <sz val="12"/>
        <color theme="1"/>
        <rFont val="Arial"/>
        <family val="2"/>
      </rPr>
      <t>dp</t>
    </r>
  </si>
  <si>
    <r>
      <t>g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</t>
    </r>
  </si>
  <si>
    <t>3, Nội lực tính toán</t>
  </si>
  <si>
    <t>a, Mômen uốn</t>
  </si>
  <si>
    <t>- Tung độ hình bao mômen ( nhánh dương):</t>
  </si>
  <si>
    <t>Tại nhịp biên:</t>
  </si>
  <si>
    <r>
      <t>b</t>
    </r>
    <r>
      <rPr>
        <vertAlign val="sub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.</t>
    </r>
  </si>
  <si>
    <t>Tại nhịp giữa:</t>
  </si>
  <si>
    <t>- Tung độ hình bao mômen ( nhánh âm):</t>
  </si>
  <si>
    <r>
      <t>b</t>
    </r>
    <r>
      <rPr>
        <vertAlign val="sub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>.</t>
    </r>
  </si>
  <si>
    <t>có hệ số      k =</t>
  </si>
  <si>
    <t xml:space="preserve">và các hệ số </t>
  </si>
  <si>
    <r>
      <t>b</t>
    </r>
    <r>
      <rPr>
        <vertAlign val="sub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 xml:space="preserve">, </t>
    </r>
    <r>
      <rPr>
        <sz val="12"/>
        <color theme="1"/>
        <rFont val="Symbol"/>
        <family val="1"/>
        <charset val="2"/>
      </rPr>
      <t>b</t>
    </r>
    <r>
      <rPr>
        <vertAlign val="subscript"/>
        <sz val="12"/>
        <color theme="1"/>
        <rFont val="Arial"/>
        <family val="2"/>
      </rPr>
      <t xml:space="preserve">2 </t>
    </r>
  </si>
  <si>
    <t xml:space="preserve">Tra phụ lục 11 quyển " SÀN SƯỜN BÊ TÔNG CỐT THÉP TOÀN KHỐI", với tỷ số </t>
  </si>
  <si>
    <t>Nhịp</t>
  </si>
  <si>
    <t>tiết diện</t>
  </si>
  <si>
    <t>giá trị</t>
  </si>
  <si>
    <t>b</t>
  </si>
  <si>
    <r>
      <t>b</t>
    </r>
    <r>
      <rPr>
        <vertAlign val="subscript"/>
        <sz val="12"/>
        <color theme="1"/>
        <rFont val="Arial"/>
        <family val="2"/>
      </rPr>
      <t>1</t>
    </r>
  </si>
  <si>
    <r>
      <t>b</t>
    </r>
    <r>
      <rPr>
        <vertAlign val="subscript"/>
        <sz val="12"/>
        <color theme="1"/>
        <rFont val="Arial"/>
        <family val="2"/>
      </rPr>
      <t>2</t>
    </r>
  </si>
  <si>
    <t>biên</t>
  </si>
  <si>
    <t xml:space="preserve">Gối </t>
  </si>
  <si>
    <t>0,425.l</t>
  </si>
  <si>
    <t xml:space="preserve">Gối 2   - </t>
  </si>
  <si>
    <t>td5</t>
  </si>
  <si>
    <t>Tung độ M (kNm)</t>
  </si>
  <si>
    <r>
      <t>M</t>
    </r>
    <r>
      <rPr>
        <vertAlign val="superscript"/>
        <sz val="12"/>
        <color theme="1"/>
        <rFont val="Symbol"/>
        <family val="1"/>
        <charset val="2"/>
      </rPr>
      <t>+</t>
    </r>
  </si>
  <si>
    <r>
      <t>M</t>
    </r>
    <r>
      <rPr>
        <vertAlign val="superscript"/>
        <sz val="12"/>
        <color theme="1"/>
        <rFont val="Symbol"/>
        <family val="1"/>
        <charset val="2"/>
      </rPr>
      <t>-</t>
    </r>
  </si>
  <si>
    <t>- Tiết diện có mômen dương bằng 0 cách gối tựa một đoạn:</t>
  </si>
  <si>
    <t>- Tiết diện có mômen âm bằng 0 cách bên trái gối thứ hai một đoạn:</t>
  </si>
  <si>
    <r>
      <t>x = k.l</t>
    </r>
    <r>
      <rPr>
        <vertAlign val="subscript"/>
        <sz val="12"/>
        <color theme="1"/>
        <rFont val="Arial"/>
        <family val="2"/>
      </rPr>
      <t>pb</t>
    </r>
    <r>
      <rPr>
        <sz val="12"/>
        <color theme="1"/>
        <rFont val="Arial"/>
        <family val="2"/>
      </rPr>
      <t xml:space="preserve"> =</t>
    </r>
  </si>
  <si>
    <r>
      <t>l</t>
    </r>
    <r>
      <rPr>
        <vertAlign val="subscript"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= l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– b</t>
    </r>
    <r>
      <rPr>
        <vertAlign val="subscript"/>
        <sz val="12"/>
        <color theme="1"/>
        <rFont val="Arial"/>
        <family val="2"/>
      </rPr>
      <t>dc</t>
    </r>
    <r>
      <rPr>
        <sz val="12"/>
        <color theme="1"/>
        <rFont val="Arial"/>
        <family val="2"/>
      </rPr>
      <t xml:space="preserve"> =</t>
    </r>
  </si>
  <si>
    <r>
      <t>0,15.l</t>
    </r>
    <r>
      <rPr>
        <vertAlign val="subscript"/>
        <sz val="12"/>
        <color theme="1"/>
        <rFont val="Arial"/>
        <family val="2"/>
      </rPr>
      <t>pb</t>
    </r>
    <r>
      <rPr>
        <sz val="12"/>
        <color theme="1"/>
        <rFont val="Arial"/>
        <family val="2"/>
      </rPr>
      <t xml:space="preserve"> =</t>
    </r>
  </si>
  <si>
    <r>
      <t>0,15.l</t>
    </r>
    <r>
      <rPr>
        <vertAlign val="subscript"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=</t>
    </r>
  </si>
  <si>
    <t>b, Lực cắt</t>
  </si>
  <si>
    <t>kN;</t>
  </si>
  <si>
    <t>4, Tính cốt thép dọc</t>
  </si>
  <si>
    <r>
      <t>có R</t>
    </r>
    <r>
      <rPr>
        <vertAlign val="subscript"/>
        <sz val="12"/>
        <color theme="1"/>
        <rFont val="Arial"/>
        <family val="2"/>
      </rPr>
      <t>s</t>
    </r>
    <r>
      <rPr>
        <sz val="12"/>
        <color theme="1"/>
        <rFont val="Arial"/>
        <family val="2"/>
      </rPr>
      <t xml:space="preserve"> =</t>
    </r>
  </si>
  <si>
    <r>
      <t>có R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</si>
  <si>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t>Mpa ;</t>
  </si>
  <si>
    <t>Bêtông cấp độ bền   B</t>
  </si>
  <si>
    <t>cốt thép dọc nhóm</t>
  </si>
  <si>
    <t>cốt đai dùng nhóm</t>
  </si>
  <si>
    <r>
      <t>có R</t>
    </r>
    <r>
      <rPr>
        <vertAlign val="subscript"/>
        <sz val="12"/>
        <color theme="1"/>
        <rFont val="Arial"/>
        <family val="2"/>
      </rPr>
      <t>sw</t>
    </r>
    <r>
      <rPr>
        <sz val="12"/>
        <color theme="1"/>
        <rFont val="Arial"/>
        <family val="2"/>
      </rPr>
      <t xml:space="preserve"> =</t>
    </r>
  </si>
  <si>
    <t>a, Với mômen âm</t>
  </si>
  <si>
    <t>Tính theo tiết diện chữ nhật</t>
  </si>
  <si>
    <t>b =</t>
  </si>
  <si>
    <t>h =</t>
  </si>
  <si>
    <t>Giả thiết a =</t>
  </si>
  <si>
    <t xml:space="preserve">mm,   </t>
  </si>
  <si>
    <r>
      <t>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</t>
    </r>
  </si>
  <si>
    <t>Tại gối 2, với M =</t>
  </si>
  <si>
    <t>kNm,</t>
  </si>
  <si>
    <t>---------------------------------------------------------------- =</t>
  </si>
  <si>
    <t>---------------------------------------------- .100%</t>
  </si>
  <si>
    <t>b, Với mômen dương</t>
  </si>
  <si>
    <t>Tính theo tiết diện chữ T, có cánh nằm trong vùng nén, bề dày cánh</t>
  </si>
  <si>
    <t>Độ vươn của cánh</t>
  </si>
  <si>
    <r>
      <t>S</t>
    </r>
    <r>
      <rPr>
        <vertAlign val="subscript"/>
        <sz val="12"/>
        <color theme="1"/>
        <rFont val="Arial"/>
        <family val="2"/>
      </rPr>
      <t>f</t>
    </r>
    <r>
      <rPr>
        <sz val="12"/>
        <color theme="1"/>
        <rFont val="Arial"/>
        <family val="2"/>
      </rPr>
      <t xml:space="preserve"> = </t>
    </r>
  </si>
  <si>
    <t>lấy không lớn hơn giá trị bé nhất trong các trị số sau:</t>
  </si>
  <si>
    <t xml:space="preserve">+, </t>
  </si>
  <si>
    <r>
      <t>(1/6).l</t>
    </r>
    <r>
      <rPr>
        <vertAlign val="subscript"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= </t>
    </r>
  </si>
  <si>
    <t>Một nửa khoảng cách thông thủy giữa hai dầm phụ cạnh nhau:</t>
  </si>
  <si>
    <r>
      <t>0,5.l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</t>
    </r>
  </si>
  <si>
    <r>
      <t>Vậy S</t>
    </r>
    <r>
      <rPr>
        <vertAlign val="subscript"/>
        <sz val="12"/>
        <color theme="1"/>
        <rFont val="Arial"/>
        <family val="2"/>
      </rPr>
      <t>f</t>
    </r>
    <r>
      <rPr>
        <sz val="12"/>
        <color theme="1"/>
        <rFont val="Arial"/>
        <family val="2"/>
      </rPr>
      <t xml:space="preserve"> ≤ min( </t>
    </r>
  </si>
  <si>
    <t>;</t>
  </si>
  <si>
    <t>) m   =</t>
  </si>
  <si>
    <r>
      <t>Chọn  S</t>
    </r>
    <r>
      <rPr>
        <vertAlign val="subscript"/>
        <sz val="12"/>
        <color theme="1"/>
        <rFont val="Arial"/>
        <family val="2"/>
      </rPr>
      <t>f</t>
    </r>
    <r>
      <rPr>
        <sz val="12"/>
        <color theme="1"/>
        <rFont val="Arial"/>
        <family val="2"/>
      </rPr>
      <t xml:space="preserve">  = </t>
    </r>
  </si>
  <si>
    <r>
      <t xml:space="preserve">Bề rộng cánh </t>
    </r>
    <r>
      <rPr>
        <i/>
        <sz val="12"/>
        <color theme="1"/>
        <rFont val="Arial"/>
        <family val="2"/>
      </rPr>
      <t>b’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= </t>
    </r>
    <r>
      <rPr>
        <i/>
        <sz val="12"/>
        <color theme="1"/>
        <rFont val="Arial"/>
        <family val="2"/>
      </rPr>
      <t>b +2S</t>
    </r>
    <r>
      <rPr>
        <i/>
        <vertAlign val="subscript"/>
        <sz val="12"/>
        <color theme="1"/>
        <rFont val="Arial"/>
        <family val="2"/>
      </rPr>
      <t xml:space="preserve">f </t>
    </r>
    <r>
      <rPr>
        <i/>
        <sz val="12"/>
        <color theme="1"/>
        <rFont val="Arial"/>
        <family val="2"/>
      </rPr>
      <t>=</t>
    </r>
  </si>
  <si>
    <r>
      <t xml:space="preserve">Tính </t>
    </r>
    <r>
      <rPr>
        <i/>
        <sz val="12"/>
        <color theme="1"/>
        <rFont val="Arial"/>
        <family val="2"/>
      </rPr>
      <t>M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= R</t>
    </r>
    <r>
      <rPr>
        <i/>
        <vertAlign val="subscript"/>
        <sz val="12"/>
        <color theme="1"/>
        <rFont val="Arial"/>
        <family val="2"/>
      </rPr>
      <t>b</t>
    </r>
    <r>
      <rPr>
        <i/>
        <sz val="12"/>
        <color theme="1"/>
        <rFont val="Arial"/>
        <family val="2"/>
      </rPr>
      <t xml:space="preserve"> . b’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.h’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.(h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-0,5h’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>)</t>
    </r>
    <r>
      <rPr>
        <sz val="12"/>
        <color theme="1"/>
        <rFont val="Arial"/>
        <family val="2"/>
      </rPr>
      <t xml:space="preserve"> =</t>
    </r>
  </si>
  <si>
    <r>
      <t>M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=</t>
    </r>
  </si>
  <si>
    <r>
      <t>h’</t>
    </r>
    <r>
      <rPr>
        <i/>
        <vertAlign val="subscript"/>
        <sz val="12"/>
        <color theme="1"/>
        <rFont val="Arial"/>
        <family val="2"/>
      </rPr>
      <t xml:space="preserve">f </t>
    </r>
    <r>
      <rPr>
        <i/>
        <sz val="12"/>
        <color theme="1"/>
        <rFont val="Arial"/>
        <family val="2"/>
      </rPr>
      <t>=</t>
    </r>
  </si>
  <si>
    <r>
      <t xml:space="preserve">-     0,5 </t>
    </r>
    <r>
      <rPr>
        <sz val="8"/>
        <color theme="1"/>
        <rFont val="Arial"/>
        <family val="2"/>
      </rPr>
      <t>x</t>
    </r>
  </si>
  <si>
    <t>)        =</t>
  </si>
  <si>
    <t>Nmm.</t>
  </si>
  <si>
    <r>
      <t>Vậy M</t>
    </r>
    <r>
      <rPr>
        <vertAlign val="superscript"/>
        <sz val="12"/>
        <color theme="1"/>
        <rFont val="Arial"/>
        <family val="2"/>
      </rPr>
      <t>+</t>
    </r>
    <r>
      <rPr>
        <vertAlign val="subscript"/>
        <sz val="12"/>
        <color theme="1"/>
        <rFont val="Arial"/>
        <family val="2"/>
      </rPr>
      <t xml:space="preserve">max </t>
    </r>
    <r>
      <rPr>
        <sz val="12"/>
        <color theme="1"/>
        <rFont val="Arial"/>
        <family val="2"/>
      </rPr>
      <t>=</t>
    </r>
  </si>
  <si>
    <t xml:space="preserve">---&gt; Trục trung hòa </t>
  </si>
  <si>
    <r>
      <t xml:space="preserve">Tính theo tiết diện chữ nhật </t>
    </r>
    <r>
      <rPr>
        <i/>
        <sz val="12"/>
        <color theme="1"/>
        <rFont val="Arial"/>
        <family val="2"/>
      </rPr>
      <t>b = b’</t>
    </r>
    <r>
      <rPr>
        <i/>
        <vertAlign val="subscript"/>
        <sz val="12"/>
        <color theme="1"/>
        <rFont val="Arial"/>
        <family val="2"/>
      </rPr>
      <t>f</t>
    </r>
    <r>
      <rPr>
        <vertAlign val="subscript"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= </t>
    </r>
  </si>
  <si>
    <t>mm,   h =</t>
  </si>
  <si>
    <t>mm,   a=</t>
  </si>
  <si>
    <r>
      <t>mm,     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</t>
    </r>
  </si>
  <si>
    <t xml:space="preserve">* Tại nhịp biên, với </t>
  </si>
  <si>
    <r>
      <t>M</t>
    </r>
    <r>
      <rPr>
        <b/>
        <vertAlign val="superscript"/>
        <sz val="12"/>
        <color theme="1"/>
        <rFont val="Arial"/>
        <family val="2"/>
      </rPr>
      <t>+</t>
    </r>
    <r>
      <rPr>
        <b/>
        <vertAlign val="subscript"/>
        <sz val="12"/>
        <color theme="1"/>
        <rFont val="Arial"/>
        <family val="2"/>
      </rPr>
      <t xml:space="preserve"> </t>
    </r>
    <r>
      <rPr>
        <b/>
        <sz val="12"/>
        <color theme="1"/>
        <rFont val="Arial"/>
        <family val="2"/>
      </rPr>
      <t>=</t>
    </r>
  </si>
  <si>
    <t>kNm:</t>
  </si>
  <si>
    <t>&lt; </t>
  </si>
  <si>
    <r>
      <t>mm</t>
    </r>
    <r>
      <rPr>
        <vertAlign val="superscript"/>
        <sz val="12"/>
        <color rgb="FF000000"/>
        <rFont val="Arial"/>
        <family val="2"/>
      </rPr>
      <t>2</t>
    </r>
  </si>
  <si>
    <t>------------------------------------------------- .100%</t>
  </si>
  <si>
    <t>--------------------------------------------- =</t>
  </si>
  <si>
    <t>a =</t>
  </si>
  <si>
    <t>;       z =</t>
  </si>
  <si>
    <t>;       As =</t>
  </si>
  <si>
    <t>;       m% =</t>
  </si>
  <si>
    <t>5, Chọn và bố trí cốt thép dọc</t>
  </si>
  <si>
    <t>Bảng 2.1. Xác định tĩnh tải</t>
  </si>
  <si>
    <t xml:space="preserve">Tiết </t>
  </si>
  <si>
    <t>diện</t>
  </si>
  <si>
    <t>Bố trí cốt thép</t>
  </si>
  <si>
    <t>Diện tích</t>
  </si>
  <si>
    <r>
      <t>A</t>
    </r>
    <r>
      <rPr>
        <vertAlign val="subscript"/>
        <sz val="12"/>
        <color theme="1"/>
        <rFont val="Arial"/>
        <family val="2"/>
      </rPr>
      <t>s</t>
    </r>
    <r>
      <rPr>
        <sz val="12"/>
        <color theme="1"/>
        <rFont val="Arial"/>
        <family val="2"/>
      </rPr>
      <t xml:space="preserve"> tính </t>
    </r>
  </si>
  <si>
    <r>
      <t>toán mm</t>
    </r>
    <r>
      <rPr>
        <vertAlign val="superscript"/>
        <sz val="12"/>
        <color rgb="FF000000"/>
        <rFont val="Arial"/>
        <family val="2"/>
      </rPr>
      <t>2</t>
    </r>
  </si>
  <si>
    <t>Nhịp biên</t>
  </si>
  <si>
    <t>Gối 2</t>
  </si>
  <si>
    <t>nhịp 2</t>
  </si>
  <si>
    <t>*Tại nhịp 2, giữa, với M =</t>
  </si>
  <si>
    <t>,mm^2 ;</t>
  </si>
  <si>
    <t>0,5.l</t>
  </si>
  <si>
    <t>--------------------------------------------------- =</t>
  </si>
  <si>
    <t>------------------------------------------------------------------------- =</t>
  </si>
  <si>
    <t>Tĩnh tải được tính toán theo bảng 2.1</t>
  </si>
  <si>
    <r>
      <t>Kiểm tra lại 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:</t>
    </r>
  </si>
  <si>
    <r>
      <t xml:space="preserve">Chọn chiều dày lớp bảo vệ   </t>
    </r>
    <r>
      <rPr>
        <i/>
        <sz val="12"/>
        <color theme="1"/>
        <rFont val="Arial"/>
        <family val="2"/>
      </rPr>
      <t>c =</t>
    </r>
    <r>
      <rPr>
        <sz val="12"/>
        <color theme="1"/>
        <rFont val="Arial"/>
        <family val="2"/>
      </rPr>
      <t xml:space="preserve"> </t>
    </r>
  </si>
  <si>
    <t>mm,  cốt thép đặt 1 lớp</t>
  </si>
  <si>
    <r>
      <t>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h</t>
    </r>
    <r>
      <rPr>
        <vertAlign val="subscript"/>
        <sz val="12"/>
        <color theme="1"/>
        <rFont val="Arial"/>
        <family val="2"/>
      </rPr>
      <t>dp</t>
    </r>
    <r>
      <rPr>
        <sz val="12"/>
        <color theme="1"/>
        <rFont val="Arial"/>
        <family val="2"/>
      </rPr>
      <t xml:space="preserve"> – c -0,5.</t>
    </r>
    <r>
      <rPr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=</t>
    </r>
  </si>
  <si>
    <t>- 0,5  .</t>
  </si>
  <si>
    <t>6, Tính toán cốt thép ngang</t>
  </si>
  <si>
    <t>Từ biểu đồ bao lực cắt ta có:</t>
  </si>
  <si>
    <t>kN. Lấy giá trị này dùng trong tính toán cốt đai</t>
  </si>
  <si>
    <r>
      <t>Theo vật liệu đã chọn:           R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=</t>
    </r>
  </si>
  <si>
    <r>
      <t>Mpa;     R</t>
    </r>
    <r>
      <rPr>
        <vertAlign val="subscript"/>
        <sz val="12"/>
        <color theme="1"/>
        <rFont val="Arial"/>
        <family val="2"/>
      </rPr>
      <t>bt</t>
    </r>
    <r>
      <rPr>
        <sz val="12"/>
        <color theme="1"/>
        <rFont val="Arial"/>
        <family val="2"/>
      </rPr>
      <t xml:space="preserve"> = </t>
    </r>
  </si>
  <si>
    <r>
      <t>Mpa;   R</t>
    </r>
    <r>
      <rPr>
        <vertAlign val="subscript"/>
        <sz val="12"/>
        <color theme="1"/>
        <rFont val="Arial"/>
        <family val="2"/>
      </rPr>
      <t>sw</t>
    </r>
    <r>
      <rPr>
        <sz val="12"/>
        <color theme="1"/>
        <rFont val="Arial"/>
        <family val="2"/>
      </rPr>
      <t xml:space="preserve"> =</t>
    </r>
  </si>
  <si>
    <t>Mpa.</t>
  </si>
  <si>
    <r>
      <t xml:space="preserve">Kích thước dầm: </t>
    </r>
    <r>
      <rPr>
        <i/>
        <sz val="12"/>
        <color theme="1"/>
        <rFont val="Arial"/>
        <family val="2"/>
      </rPr>
      <t>b=</t>
    </r>
  </si>
  <si>
    <r>
      <t xml:space="preserve">mm;         </t>
    </r>
    <r>
      <rPr>
        <i/>
        <sz val="12"/>
        <color theme="1"/>
        <rFont val="Arial"/>
        <family val="2"/>
      </rPr>
      <t>h =</t>
    </r>
  </si>
  <si>
    <r>
      <t xml:space="preserve">mm;        </t>
    </r>
    <r>
      <rPr>
        <i/>
        <sz val="12"/>
        <color theme="1"/>
        <rFont val="Arial"/>
        <family val="2"/>
      </rPr>
      <t>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</t>
    </r>
  </si>
  <si>
    <r>
      <t xml:space="preserve">Kiểm tra điều kiện </t>
    </r>
    <r>
      <rPr>
        <i/>
        <sz val="12"/>
        <color theme="1"/>
        <rFont val="Arial"/>
        <family val="2"/>
      </rPr>
      <t>Q</t>
    </r>
    <r>
      <rPr>
        <i/>
        <vertAlign val="subscript"/>
        <sz val="12"/>
        <color theme="1"/>
        <rFont val="Arial"/>
        <family val="2"/>
      </rPr>
      <t>min</t>
    </r>
    <r>
      <rPr>
        <i/>
        <sz val="12"/>
        <color theme="1"/>
        <rFont val="Arial"/>
        <family val="2"/>
      </rPr>
      <t xml:space="preserve"> &lt; Q &lt; 0,3.R</t>
    </r>
    <r>
      <rPr>
        <i/>
        <vertAlign val="subscript"/>
        <sz val="12"/>
        <color theme="1"/>
        <rFont val="Arial"/>
        <family val="2"/>
      </rPr>
      <t>b</t>
    </r>
    <r>
      <rPr>
        <i/>
        <sz val="12"/>
        <color theme="1"/>
        <rFont val="Arial"/>
        <family val="2"/>
      </rPr>
      <t>.b.h</t>
    </r>
    <r>
      <rPr>
        <i/>
        <vertAlign val="subscript"/>
        <sz val="12"/>
        <color theme="1"/>
        <rFont val="Arial"/>
        <family val="2"/>
      </rPr>
      <t>o</t>
    </r>
  </si>
  <si>
    <r>
      <t>0,3.R</t>
    </r>
    <r>
      <rPr>
        <i/>
        <vertAlign val="subscript"/>
        <sz val="12"/>
        <color theme="1"/>
        <rFont val="Arial"/>
        <family val="2"/>
      </rPr>
      <t>b</t>
    </r>
    <r>
      <rPr>
        <i/>
        <sz val="12"/>
        <color theme="1"/>
        <rFont val="Arial"/>
        <family val="2"/>
      </rPr>
      <t>.b.h</t>
    </r>
    <r>
      <rPr>
        <i/>
        <vertAlign val="subscript"/>
        <sz val="12"/>
        <color theme="1"/>
        <rFont val="Arial"/>
        <family val="2"/>
      </rPr>
      <t xml:space="preserve">o </t>
    </r>
    <r>
      <rPr>
        <i/>
        <sz val="12"/>
        <color theme="1"/>
        <rFont val="Arial"/>
        <family val="2"/>
      </rPr>
      <t>= 0,3.</t>
    </r>
  </si>
  <si>
    <t>N          =</t>
  </si>
  <si>
    <r>
      <t>Q</t>
    </r>
    <r>
      <rPr>
        <i/>
        <vertAlign val="subscript"/>
        <sz val="12"/>
        <color theme="1"/>
        <rFont val="Arial"/>
        <family val="2"/>
      </rPr>
      <t>min</t>
    </r>
    <r>
      <rPr>
        <i/>
        <sz val="12"/>
        <color theme="1"/>
        <rFont val="Arial"/>
        <family val="2"/>
      </rPr>
      <t xml:space="preserve"> = 0,5 . R</t>
    </r>
    <r>
      <rPr>
        <i/>
        <vertAlign val="subscript"/>
        <sz val="12"/>
        <color theme="1"/>
        <rFont val="Arial"/>
        <family val="2"/>
      </rPr>
      <t>bt</t>
    </r>
    <r>
      <rPr>
        <i/>
        <sz val="12"/>
        <color theme="1"/>
        <rFont val="Arial"/>
        <family val="2"/>
      </rPr>
      <t>.  b . 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0 ,5 .</t>
    </r>
  </si>
  <si>
    <t xml:space="preserve">N         = </t>
  </si>
  <si>
    <t>kN.</t>
  </si>
  <si>
    <r>
      <t xml:space="preserve">Điều kiện </t>
    </r>
    <r>
      <rPr>
        <i/>
        <sz val="12"/>
        <color theme="1"/>
        <rFont val="Arial"/>
        <family val="2"/>
      </rPr>
      <t>Q</t>
    </r>
    <r>
      <rPr>
        <i/>
        <vertAlign val="subscript"/>
        <sz val="12"/>
        <color theme="1"/>
        <rFont val="Arial"/>
        <family val="2"/>
      </rPr>
      <t>min</t>
    </r>
    <r>
      <rPr>
        <i/>
        <sz val="12"/>
        <color theme="1"/>
        <rFont val="Arial"/>
        <family val="2"/>
      </rPr>
      <t xml:space="preserve"> &lt; Q &lt; 0,3.R</t>
    </r>
    <r>
      <rPr>
        <i/>
        <vertAlign val="subscript"/>
        <sz val="12"/>
        <color theme="1"/>
        <rFont val="Arial"/>
        <family val="2"/>
      </rPr>
      <t>b</t>
    </r>
    <r>
      <rPr>
        <i/>
        <sz val="12"/>
        <color theme="1"/>
        <rFont val="Arial"/>
        <family val="2"/>
      </rPr>
      <t>.b.h</t>
    </r>
    <r>
      <rPr>
        <i/>
        <vertAlign val="subscript"/>
        <sz val="12"/>
        <color theme="1"/>
        <rFont val="Arial"/>
        <family val="2"/>
      </rPr>
      <t>o</t>
    </r>
  </si>
  <si>
    <t>Tính toán cốt đai ( không có cốt xiên):</t>
  </si>
  <si>
    <t>Cho Q =</t>
  </si>
  <si>
    <r>
      <t>kN = Q</t>
    </r>
    <r>
      <rPr>
        <vertAlign val="subscript"/>
        <sz val="12"/>
        <color theme="1"/>
        <rFont val="Arial"/>
        <family val="2"/>
      </rPr>
      <t>đb</t>
    </r>
    <r>
      <rPr>
        <sz val="12"/>
        <color theme="1"/>
        <rFont val="Arial"/>
        <family val="2"/>
      </rPr>
      <t xml:space="preserve"> =</t>
    </r>
  </si>
  <si>
    <r>
      <t>q</t>
    </r>
    <r>
      <rPr>
        <vertAlign val="subscript"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: tải trọng toàn phần của dầm phụ</t>
    </r>
  </si>
  <si>
    <t>N/mm</t>
  </si>
  <si>
    <r>
      <t>q</t>
    </r>
    <r>
      <rPr>
        <i/>
        <vertAlign val="subscript"/>
        <sz val="12"/>
        <color theme="1"/>
        <rFont val="Arial"/>
        <family val="2"/>
      </rPr>
      <t>swmin</t>
    </r>
    <r>
      <rPr>
        <i/>
        <sz val="12"/>
        <color theme="1"/>
        <rFont val="Arial"/>
        <family val="2"/>
      </rPr>
      <t xml:space="preserve"> = 0,25.R</t>
    </r>
    <r>
      <rPr>
        <i/>
        <vertAlign val="subscript"/>
        <sz val="12"/>
        <color theme="1"/>
        <rFont val="Arial"/>
        <family val="2"/>
      </rPr>
      <t>bt</t>
    </r>
    <r>
      <rPr>
        <i/>
        <sz val="12"/>
        <color theme="1"/>
        <rFont val="Arial"/>
        <family val="2"/>
      </rPr>
      <t>.b =0,25.</t>
    </r>
  </si>
  <si>
    <t>N/mm.</t>
  </si>
  <si>
    <r>
      <t>q</t>
    </r>
    <r>
      <rPr>
        <i/>
        <vertAlign val="subscript"/>
        <sz val="12"/>
        <color theme="1"/>
        <rFont val="Arial"/>
        <family val="2"/>
      </rPr>
      <t>swmin</t>
    </r>
    <r>
      <rPr>
        <i/>
        <sz val="12"/>
        <color theme="1"/>
        <rFont val="Arial"/>
        <family val="2"/>
      </rPr>
      <t xml:space="preserve"> =</t>
    </r>
  </si>
  <si>
    <r>
      <t>q</t>
    </r>
    <r>
      <rPr>
        <i/>
        <vertAlign val="subscript"/>
        <sz val="12"/>
        <color theme="1"/>
        <rFont val="Arial"/>
        <family val="2"/>
      </rPr>
      <t>sw</t>
    </r>
    <r>
      <rPr>
        <i/>
        <sz val="12"/>
        <color theme="1"/>
        <rFont val="Arial"/>
        <family val="2"/>
      </rPr>
      <t xml:space="preserve"> =</t>
    </r>
  </si>
  <si>
    <r>
      <t>C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</t>
    </r>
  </si>
  <si>
    <r>
      <t>2h</t>
    </r>
    <r>
      <rPr>
        <vertAlign val="subscript"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</t>
    </r>
  </si>
  <si>
    <t>mm:</t>
  </si>
  <si>
    <t>suy ra:</t>
  </si>
  <si>
    <r>
      <t>Tính q</t>
    </r>
    <r>
      <rPr>
        <b/>
        <vertAlign val="subscript"/>
        <sz val="12"/>
        <color theme="1"/>
        <rFont val="Arial"/>
        <family val="2"/>
      </rPr>
      <t>sw</t>
    </r>
    <r>
      <rPr>
        <b/>
        <sz val="12"/>
        <color theme="1"/>
        <rFont val="Arial"/>
        <family val="2"/>
      </rPr>
      <t xml:space="preserve"> với C</t>
    </r>
    <r>
      <rPr>
        <b/>
        <vertAlign val="sub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=</t>
    </r>
  </si>
  <si>
    <r>
      <t>Kiểm tra C</t>
    </r>
    <r>
      <rPr>
        <b/>
        <vertAlign val="sub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,       với         q</t>
    </r>
    <r>
      <rPr>
        <b/>
        <vertAlign val="subscript"/>
        <sz val="12"/>
        <color theme="1"/>
        <rFont val="Arial"/>
        <family val="2"/>
      </rPr>
      <t>sw</t>
    </r>
    <r>
      <rPr>
        <b/>
        <sz val="12"/>
        <color theme="1"/>
        <rFont val="Arial"/>
        <family val="2"/>
      </rPr>
      <t xml:space="preserve"> = </t>
    </r>
  </si>
  <si>
    <r>
      <t xml:space="preserve">Chọn cốt đai </t>
    </r>
    <r>
      <rPr>
        <b/>
        <sz val="12"/>
        <color theme="1"/>
        <rFont val="Symbol"/>
        <family val="1"/>
        <charset val="2"/>
      </rPr>
      <t xml:space="preserve">f 6 </t>
    </r>
  </si>
  <si>
    <t>nhánh</t>
  </si>
  <si>
    <t>Diên tích của một lớp côt đai là:</t>
  </si>
  <si>
    <t>----------------------------------------------------- =</t>
  </si>
  <si>
    <t>Khoảng cách giữa các lớp cốt đai theo cấu tạo là:</t>
  </si>
  <si>
    <t>Khoảng cách giữa các lớp cốt đai theo tính toán là:</t>
  </si>
  <si>
    <r>
      <t>S</t>
    </r>
    <r>
      <rPr>
        <i/>
        <vertAlign val="subscript"/>
        <sz val="12"/>
        <color theme="1"/>
        <rFont val="Arial"/>
        <family val="2"/>
      </rPr>
      <t>ct</t>
    </r>
    <r>
      <rPr>
        <i/>
        <sz val="12"/>
        <color theme="1"/>
        <rFont val="Arial"/>
        <family val="2"/>
      </rPr>
      <t xml:space="preserve"> = min ( 0,5.h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;300)mm =min(0,5.</t>
    </r>
  </si>
  <si>
    <t>; 300)mm     =</t>
  </si>
  <si>
    <t>Khoảng cách lơn nhất giữa các lớp cốt đai là:</t>
  </si>
  <si>
    <r>
      <t>Cốt đai được bố trí với khoảng cách là</t>
    </r>
    <r>
      <rPr>
        <i/>
        <sz val="12"/>
        <color theme="1"/>
        <rFont val="Arial"/>
        <family val="2"/>
      </rPr>
      <t xml:space="preserve"> s= min(S</t>
    </r>
    <r>
      <rPr>
        <i/>
        <vertAlign val="subscript"/>
        <sz val="12"/>
        <color theme="1"/>
        <rFont val="Arial"/>
        <family val="2"/>
      </rPr>
      <t>tt</t>
    </r>
    <r>
      <rPr>
        <i/>
        <sz val="12"/>
        <color theme="1"/>
        <rFont val="Arial"/>
        <family val="2"/>
      </rPr>
      <t>;S</t>
    </r>
    <r>
      <rPr>
        <i/>
        <vertAlign val="subscript"/>
        <sz val="12"/>
        <color theme="1"/>
        <rFont val="Arial"/>
        <family val="2"/>
      </rPr>
      <t>ct</t>
    </r>
    <r>
      <rPr>
        <i/>
        <sz val="12"/>
        <color theme="1"/>
        <rFont val="Arial"/>
        <family val="2"/>
      </rPr>
      <t>;S</t>
    </r>
    <r>
      <rPr>
        <i/>
        <vertAlign val="subscript"/>
        <sz val="12"/>
        <color theme="1"/>
        <rFont val="Arial"/>
        <family val="2"/>
      </rPr>
      <t>max</t>
    </r>
    <r>
      <rPr>
        <i/>
        <sz val="12"/>
        <color theme="1"/>
        <rFont val="Arial"/>
        <family val="2"/>
      </rPr>
      <t>) =</t>
    </r>
  </si>
  <si>
    <t>----&gt; Lấy tròn s =</t>
  </si>
  <si>
    <r>
      <t xml:space="preserve">Các  dầm  đều  được  bố  trí  cốt đai  </t>
    </r>
    <r>
      <rPr>
        <sz val="12"/>
        <color theme="1"/>
        <rFont val="Symbol"/>
        <family val="1"/>
        <charset val="2"/>
      </rPr>
      <t xml:space="preserve">f </t>
    </r>
    <r>
      <rPr>
        <sz val="12"/>
        <color theme="1"/>
        <rFont val="Arial"/>
        <family val="2"/>
      </rPr>
      <t xml:space="preserve">6  , </t>
    </r>
  </si>
  <si>
    <t xml:space="preserve">nhánh, khoảng cách  s = </t>
  </si>
  <si>
    <t>7, Tính, vẽ hình bao vật liệu</t>
  </si>
  <si>
    <t>a, Tính khả năng chịu lực</t>
  </si>
  <si>
    <t>Tại nhịp biên, mômen dương, tiết diện chữ T có cánh nằm trong vùng nén, bề rộng cánh</t>
  </si>
  <si>
    <r>
      <t>b = b</t>
    </r>
    <r>
      <rPr>
        <i/>
        <vertAlign val="superscript"/>
        <sz val="12"/>
        <color theme="1"/>
        <rFont val="Arial"/>
        <family val="2"/>
      </rPr>
      <t>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=</t>
    </r>
    <r>
      <rPr>
        <sz val="12"/>
        <color theme="1"/>
        <rFont val="Arial"/>
        <family val="2"/>
      </rPr>
      <t xml:space="preserve"> </t>
    </r>
  </si>
  <si>
    <t>mm,   bố trí cốt thép</t>
  </si>
  <si>
    <r>
      <t>diện tích A</t>
    </r>
    <r>
      <rPr>
        <vertAlign val="subscript"/>
        <sz val="12"/>
        <color theme="1"/>
        <rFont val="Arial"/>
        <family val="2"/>
      </rPr>
      <t>s</t>
    </r>
    <r>
      <rPr>
        <i/>
        <sz val="12"/>
        <color theme="1"/>
        <rFont val="Arial"/>
        <family val="2"/>
      </rPr>
      <t xml:space="preserve"> =</t>
    </r>
  </si>
  <si>
    <t>Lấy lớp bảo vệ là a=</t>
  </si>
  <si>
    <r>
      <t xml:space="preserve">mm, </t>
    </r>
    <r>
      <rPr>
        <i/>
        <sz val="12"/>
        <color theme="1"/>
        <rFont val="Arial"/>
        <family val="2"/>
      </rPr>
      <t>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h</t>
    </r>
    <r>
      <rPr>
        <i/>
        <vertAlign val="subscript"/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 xml:space="preserve"> – a – 0,5</t>
    </r>
    <r>
      <rPr>
        <i/>
        <sz val="12"/>
        <color theme="1"/>
        <rFont val="Symbol"/>
        <family val="1"/>
        <charset val="2"/>
      </rPr>
      <t>f</t>
    </r>
    <r>
      <rPr>
        <i/>
        <sz val="12"/>
        <color theme="1"/>
        <rFont val="Arial"/>
        <family val="2"/>
      </rPr>
      <t xml:space="preserve"> =</t>
    </r>
  </si>
  <si>
    <r>
      <t xml:space="preserve">x = </t>
    </r>
    <r>
      <rPr>
        <i/>
        <sz val="12"/>
        <color theme="1"/>
        <rFont val="Symbol"/>
        <family val="1"/>
        <charset val="2"/>
      </rPr>
      <t>x</t>
    </r>
    <r>
      <rPr>
        <i/>
        <sz val="12"/>
        <color theme="1"/>
        <rFont val="Arial"/>
        <family val="2"/>
      </rPr>
      <t>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</t>
    </r>
    <r>
      <rPr>
        <sz val="12"/>
        <color theme="1"/>
        <rFont val="Arial"/>
        <family val="2"/>
      </rPr>
      <t xml:space="preserve"> </t>
    </r>
  </si>
  <si>
    <r>
      <t>h</t>
    </r>
    <r>
      <rPr>
        <i/>
        <vertAlign val="superscript"/>
        <sz val="12"/>
        <color theme="1"/>
        <rFont val="Arial"/>
        <family val="2"/>
      </rPr>
      <t>’</t>
    </r>
    <r>
      <rPr>
        <i/>
        <vertAlign val="subscript"/>
        <sz val="12"/>
        <color theme="1"/>
        <rFont val="Arial"/>
        <family val="2"/>
      </rPr>
      <t>f</t>
    </r>
    <r>
      <rPr>
        <i/>
        <sz val="12"/>
        <color theme="1"/>
        <rFont val="Arial"/>
        <family val="2"/>
      </rPr>
      <t xml:space="preserve"> =</t>
    </r>
  </si>
  <si>
    <r>
      <t>z</t>
    </r>
    <r>
      <rPr>
        <sz val="12"/>
        <color theme="1"/>
        <rFont val="Arial"/>
        <family val="2"/>
      </rPr>
      <t xml:space="preserve"> = 1 – 0,5 </t>
    </r>
    <r>
      <rPr>
        <sz val="12"/>
        <color theme="1"/>
        <rFont val="Symbol"/>
        <family val="1"/>
        <charset val="2"/>
      </rPr>
      <t>x</t>
    </r>
    <r>
      <rPr>
        <sz val="12"/>
        <color theme="1"/>
        <rFont val="Arial"/>
        <family val="2"/>
      </rPr>
      <t xml:space="preserve"> =  1 -  0,5.</t>
    </r>
  </si>
  <si>
    <r>
      <t>M</t>
    </r>
    <r>
      <rPr>
        <i/>
        <vertAlign val="subscript"/>
        <sz val="12"/>
        <color theme="1"/>
        <rFont val="Arial"/>
        <family val="2"/>
      </rPr>
      <t>td</t>
    </r>
    <r>
      <rPr>
        <i/>
        <sz val="12"/>
        <color theme="1"/>
        <rFont val="Arial"/>
        <family val="2"/>
      </rPr>
      <t xml:space="preserve"> = R</t>
    </r>
    <r>
      <rPr>
        <i/>
        <vertAlign val="subscript"/>
        <sz val="12"/>
        <color theme="1"/>
        <rFont val="Arial"/>
        <family val="2"/>
      </rPr>
      <t>s</t>
    </r>
    <r>
      <rPr>
        <i/>
        <sz val="12"/>
        <color theme="1"/>
        <rFont val="Arial"/>
        <family val="2"/>
      </rPr>
      <t>.A</t>
    </r>
    <r>
      <rPr>
        <i/>
        <vertAlign val="subscript"/>
        <sz val="12"/>
        <color theme="1"/>
        <rFont val="Arial"/>
        <family val="2"/>
      </rPr>
      <t>s</t>
    </r>
    <r>
      <rPr>
        <i/>
        <sz val="12"/>
        <color theme="1"/>
        <rFont val="Arial"/>
        <family val="2"/>
      </rPr>
      <t>.</t>
    </r>
    <r>
      <rPr>
        <i/>
        <sz val="12"/>
        <color theme="1"/>
        <rFont val="Symbol"/>
        <family val="1"/>
        <charset val="2"/>
      </rPr>
      <t>z</t>
    </r>
    <r>
      <rPr>
        <i/>
        <sz val="12"/>
        <color theme="1"/>
        <rFont val="Arial"/>
        <family val="2"/>
      </rPr>
      <t>.h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</t>
    </r>
  </si>
  <si>
    <t>kNm.</t>
  </si>
  <si>
    <t>Nmm          =</t>
  </si>
  <si>
    <t>Tại gối 2, mômen âm, tiết diện chữ nhật</t>
  </si>
  <si>
    <r>
      <t xml:space="preserve"> </t>
    </r>
    <r>
      <rPr>
        <i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x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h</t>
    </r>
    <r>
      <rPr>
        <sz val="12"/>
        <color theme="1"/>
        <rFont val="Arial"/>
        <family val="2"/>
      </rPr>
      <t xml:space="preserve"> =</t>
    </r>
  </si>
  <si>
    <t>bố trí cốt thép:</t>
  </si>
  <si>
    <r>
      <rPr>
        <i/>
        <sz val="12"/>
        <color theme="1"/>
        <rFont val="Symbol"/>
        <family val="1"/>
        <charset val="2"/>
      </rPr>
      <t>x</t>
    </r>
    <r>
      <rPr>
        <i/>
        <vertAlign val="subscript"/>
        <sz val="12"/>
        <color theme="1"/>
        <rFont val="Arial"/>
        <family val="2"/>
      </rPr>
      <t>pl</t>
    </r>
    <r>
      <rPr>
        <i/>
        <sz val="12"/>
        <color theme="1"/>
        <rFont val="Arial"/>
        <family val="2"/>
      </rPr>
      <t xml:space="preserve"> = </t>
    </r>
    <r>
      <rPr>
        <sz val="12"/>
        <color theme="1"/>
        <rFont val="Arial"/>
        <family val="2"/>
      </rPr>
      <t>0,30</t>
    </r>
  </si>
  <si>
    <r>
      <t xml:space="preserve">(với tiết diện chịu mômen dương thì thay </t>
    </r>
    <r>
      <rPr>
        <i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bằng </t>
    </r>
    <r>
      <rPr>
        <i/>
        <sz val="12"/>
        <color theme="1"/>
        <rFont val="Arial"/>
        <family val="2"/>
      </rPr>
      <t>b</t>
    </r>
    <r>
      <rPr>
        <i/>
        <vertAlign val="superscript"/>
        <sz val="12"/>
        <color theme="1"/>
        <rFont val="Arial"/>
        <family val="2"/>
      </rPr>
      <t>'</t>
    </r>
    <r>
      <rPr>
        <i/>
        <vertAlign val="subscript"/>
        <sz val="12"/>
        <color theme="1"/>
        <rFont val="Arial"/>
        <family val="2"/>
      </rPr>
      <t>f</t>
    </r>
    <r>
      <rPr>
        <sz val="12"/>
        <color theme="1"/>
        <rFont val="Arial"/>
        <family val="2"/>
      </rPr>
      <t>)</t>
    </r>
  </si>
  <si>
    <t>Giữa nhịp biên</t>
  </si>
  <si>
    <t>Cạnh nhịp biên</t>
  </si>
  <si>
    <t>Trên gối 2</t>
  </si>
  <si>
    <t>Cạnh gối 2</t>
  </si>
  <si>
    <t>Giữa nhịp 2</t>
  </si>
  <si>
    <t>Cạnh nhịp 2</t>
  </si>
  <si>
    <t>Số lượng và diện tích cốt thép</t>
  </si>
  <si>
    <r>
      <t>h</t>
    </r>
    <r>
      <rPr>
        <vertAlign val="subscript"/>
        <sz val="12"/>
        <color theme="1"/>
        <rFont val="Arial"/>
        <family val="2"/>
      </rPr>
      <t>o</t>
    </r>
  </si>
  <si>
    <r>
      <t>M</t>
    </r>
    <r>
      <rPr>
        <vertAlign val="subscript"/>
        <sz val="12"/>
        <color theme="1"/>
        <rFont val="Arial"/>
        <family val="2"/>
      </rPr>
      <t>td</t>
    </r>
  </si>
  <si>
    <t>(kNm)</t>
  </si>
  <si>
    <t>z</t>
  </si>
  <si>
    <r>
      <t xml:space="preserve">Có </t>
    </r>
    <r>
      <rPr>
        <i/>
        <sz val="12"/>
        <color theme="1"/>
        <rFont val="Arial"/>
        <family val="2"/>
      </rPr>
      <t>A</t>
    </r>
    <r>
      <rPr>
        <i/>
        <vertAlign val="subscript"/>
        <sz val="12"/>
        <color theme="1"/>
        <rFont val="Arial"/>
        <family val="2"/>
      </rPr>
      <t>s</t>
    </r>
    <r>
      <rPr>
        <i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=</t>
    </r>
  </si>
  <si>
    <r>
      <t xml:space="preserve">Cắt 1 </t>
    </r>
    <r>
      <rPr>
        <sz val="12"/>
        <color theme="1"/>
        <rFont val="Symbol"/>
        <family val="1"/>
        <charset val="2"/>
      </rPr>
      <t>f</t>
    </r>
  </si>
  <si>
    <r>
      <t xml:space="preserve">Còn 2 </t>
    </r>
    <r>
      <rPr>
        <sz val="12"/>
        <color theme="1"/>
        <rFont val="Symbol"/>
        <family val="1"/>
        <charset val="2"/>
      </rPr>
      <t>f</t>
    </r>
  </si>
  <si>
    <t>hdp</t>
  </si>
  <si>
    <t>a</t>
  </si>
  <si>
    <t>Rs</t>
  </si>
  <si>
    <t>Rb</t>
  </si>
  <si>
    <t>b, Xác định mặt cắt lý thuyết của các thanh</t>
  </si>
  <si>
    <t>Đầu bên phải:</t>
  </si>
  <si>
    <t>Đầu bên trái:</t>
  </si>
  <si>
    <r>
      <t>M</t>
    </r>
    <r>
      <rPr>
        <i/>
        <vertAlign val="superscript"/>
        <sz val="12"/>
        <color theme="1"/>
        <rFont val="Arial"/>
        <family val="2"/>
      </rPr>
      <t>-</t>
    </r>
    <r>
      <rPr>
        <i/>
        <vertAlign val="subscript"/>
        <sz val="12"/>
        <color theme="1"/>
        <rFont val="Arial"/>
        <family val="2"/>
      </rPr>
      <t>4</t>
    </r>
    <r>
      <rPr>
        <i/>
        <sz val="12"/>
        <color theme="1"/>
        <rFont val="Arial"/>
        <family val="2"/>
      </rPr>
      <t>, M</t>
    </r>
    <r>
      <rPr>
        <i/>
        <vertAlign val="superscript"/>
        <sz val="12"/>
        <color theme="1"/>
        <rFont val="Arial"/>
        <family val="2"/>
      </rPr>
      <t>-</t>
    </r>
    <r>
      <rPr>
        <i/>
        <vertAlign val="subscript"/>
        <sz val="12"/>
        <color theme="1"/>
        <rFont val="Arial"/>
        <family val="2"/>
      </rPr>
      <t>5</t>
    </r>
    <r>
      <rPr>
        <i/>
        <sz val="12"/>
        <color theme="1"/>
        <rFont val="Arial"/>
        <family val="2"/>
      </rPr>
      <t xml:space="preserve"> : là giá trị độ lớn của tung độ M</t>
    </r>
    <r>
      <rPr>
        <i/>
        <vertAlign val="superscript"/>
        <sz val="12"/>
        <color theme="1"/>
        <rFont val="Arial"/>
        <family val="2"/>
      </rPr>
      <t>-</t>
    </r>
    <r>
      <rPr>
        <i/>
        <sz val="12"/>
        <color theme="1"/>
        <rFont val="Arial"/>
        <family val="2"/>
      </rPr>
      <t xml:space="preserve"> tại tiết diện 4,5 của dầm, lấy trong bảng 2.2</t>
    </r>
  </si>
  <si>
    <r>
      <t xml:space="preserve">Tại khu vực này bố trí cốt đai là </t>
    </r>
    <r>
      <rPr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6,        s = </t>
    </r>
  </si>
  <si>
    <r>
      <t xml:space="preserve">Tính </t>
    </r>
    <r>
      <rPr>
        <i/>
        <sz val="12"/>
        <color theme="1"/>
        <rFont val="Arial"/>
        <family val="2"/>
      </rPr>
      <t>q</t>
    </r>
    <r>
      <rPr>
        <i/>
        <sz val="8"/>
        <color theme="1"/>
        <rFont val="Arial"/>
        <family val="2"/>
      </rPr>
      <t>sw</t>
    </r>
    <r>
      <rPr>
        <sz val="12"/>
        <color theme="1"/>
        <rFont val="Arial"/>
        <family val="2"/>
      </rPr>
      <t>:</t>
    </r>
  </si>
  <si>
    <t>------------------------------------------------------ =</t>
  </si>
  <si>
    <t xml:space="preserve">N/mm        = </t>
  </si>
  <si>
    <r>
      <t xml:space="preserve">Do tại khu vực cắt cốt thép số 3 không bố trí cốt xiên nên </t>
    </r>
    <r>
      <rPr>
        <i/>
        <sz val="12"/>
        <color theme="1"/>
        <rFont val="Arial"/>
        <family val="2"/>
      </rPr>
      <t>Q</t>
    </r>
    <r>
      <rPr>
        <i/>
        <sz val="8"/>
        <color theme="1"/>
        <rFont val="Arial"/>
        <family val="2"/>
      </rPr>
      <t>s,inc</t>
    </r>
    <r>
      <rPr>
        <sz val="12"/>
        <color theme="1"/>
        <rFont val="Arial"/>
        <family val="2"/>
      </rPr>
      <t xml:space="preserve"> = 0, ta có:</t>
    </r>
  </si>
  <si>
    <t>2*</t>
  </si>
  <si>
    <t>----------------------------------- +</t>
  </si>
  <si>
    <t>-   0</t>
  </si>
  <si>
    <t>5*</t>
  </si>
  <si>
    <t>m            =</t>
  </si>
  <si>
    <t>0,2 *</t>
  </si>
  <si>
    <r>
      <t>M</t>
    </r>
    <r>
      <rPr>
        <i/>
        <vertAlign val="superscript"/>
        <sz val="12"/>
        <color theme="1"/>
        <rFont val="Arial"/>
        <family val="2"/>
      </rPr>
      <t>-</t>
    </r>
    <r>
      <rPr>
        <i/>
        <vertAlign val="subscript"/>
        <sz val="12"/>
        <color theme="1"/>
        <rFont val="Arial"/>
        <family val="2"/>
      </rPr>
      <t>5</t>
    </r>
    <r>
      <rPr>
        <i/>
        <sz val="12"/>
        <color theme="1"/>
        <rFont val="Arial"/>
        <family val="2"/>
      </rPr>
      <t>, M</t>
    </r>
    <r>
      <rPr>
        <i/>
        <vertAlign val="superscript"/>
        <sz val="12"/>
        <color theme="1"/>
        <rFont val="Arial"/>
        <family val="2"/>
      </rPr>
      <t>-</t>
    </r>
    <r>
      <rPr>
        <i/>
        <vertAlign val="subscript"/>
        <sz val="12"/>
        <color theme="1"/>
        <rFont val="Arial"/>
        <family val="2"/>
      </rPr>
      <t>6</t>
    </r>
    <r>
      <rPr>
        <i/>
        <sz val="12"/>
        <color theme="1"/>
        <rFont val="Arial"/>
        <family val="2"/>
      </rPr>
      <t xml:space="preserve"> : là giá trị độ lớn của tung độ M</t>
    </r>
    <r>
      <rPr>
        <i/>
        <vertAlign val="superscript"/>
        <sz val="12"/>
        <color theme="1"/>
        <rFont val="Arial"/>
        <family val="2"/>
      </rPr>
      <t>-</t>
    </r>
    <r>
      <rPr>
        <i/>
        <sz val="12"/>
        <color theme="1"/>
        <rFont val="Arial"/>
        <family val="2"/>
      </rPr>
      <t xml:space="preserve"> tại tiết diện 5,6 của dầm, lấy trong bảng 2.2</t>
    </r>
  </si>
  <si>
    <r>
      <rPr>
        <i/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là đường kính thanh thép số 3</t>
    </r>
  </si>
  <si>
    <t xml:space="preserve">* </t>
  </si>
  <si>
    <t>8,</t>
  </si>
  <si>
    <t xml:space="preserve">Diện tích cốt thép là: </t>
  </si>
  <si>
    <r>
      <t>226 mm</t>
    </r>
    <r>
      <rPr>
        <vertAlign val="superscript"/>
        <sz val="12"/>
        <color rgb="FF000000"/>
        <rFont val="Arial"/>
        <family val="2"/>
      </rPr>
      <t>2</t>
    </r>
  </si>
  <si>
    <r>
      <t>không nhỏ hơn 0,1%</t>
    </r>
    <r>
      <rPr>
        <i/>
        <sz val="12"/>
        <color theme="1"/>
        <rFont val="Arial"/>
        <family val="2"/>
      </rPr>
      <t>bh</t>
    </r>
    <r>
      <rPr>
        <i/>
        <sz val="8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= </t>
    </r>
  </si>
  <si>
    <t>0,1 % .</t>
  </si>
  <si>
    <t>thép</t>
  </si>
  <si>
    <t>Cốt</t>
  </si>
  <si>
    <t>Mặt cắt lý thuyết</t>
  </si>
  <si>
    <t>Cách mép tường là</t>
  </si>
  <si>
    <t>Cách mép trái gối 2 là</t>
  </si>
  <si>
    <r>
      <t>Cốt thép số 8( 2</t>
    </r>
    <r>
      <rPr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>12): cốt thép này được sử dụng làm giá ở nhịp biên, trong đoạn không có mômen âm.</t>
    </r>
  </si>
  <si>
    <t>Đoạn</t>
  </si>
  <si>
    <t>kéo dài</t>
  </si>
  <si>
    <t>số1,2</t>
  </si>
  <si>
    <t>số5,6</t>
  </si>
  <si>
    <t>số8</t>
  </si>
  <si>
    <t>IV.</t>
  </si>
  <si>
    <t>TÍNH DẦM CHÍNH</t>
  </si>
  <si>
    <t>Dầm chính là dầm liên tục</t>
  </si>
  <si>
    <r>
      <t xml:space="preserve">nhịp, kích thước tiết diện dầm: </t>
    </r>
    <r>
      <rPr>
        <i/>
        <sz val="12"/>
        <color theme="1"/>
        <rFont val="Arial"/>
        <family val="2"/>
      </rPr>
      <t>h</t>
    </r>
    <r>
      <rPr>
        <i/>
        <sz val="8"/>
        <color theme="1"/>
        <rFont val="Arial"/>
        <family val="2"/>
      </rPr>
      <t>dc</t>
    </r>
    <r>
      <rPr>
        <sz val="12"/>
        <color theme="1"/>
        <rFont val="Arial"/>
        <family val="2"/>
      </rPr>
      <t xml:space="preserve"> =</t>
    </r>
  </si>
  <si>
    <r>
      <t xml:space="preserve">mm, </t>
    </r>
    <r>
      <rPr>
        <i/>
        <sz val="12"/>
        <color theme="1"/>
        <rFont val="Arial"/>
        <family val="2"/>
      </rPr>
      <t>b</t>
    </r>
    <r>
      <rPr>
        <i/>
        <sz val="8"/>
        <color theme="1"/>
        <rFont val="Arial"/>
        <family val="2"/>
      </rPr>
      <t>dc</t>
    </r>
    <r>
      <rPr>
        <sz val="12"/>
        <color theme="1"/>
        <rFont val="Arial"/>
        <family val="2"/>
      </rPr>
      <t>=</t>
    </r>
  </si>
  <si>
    <r>
      <t xml:space="preserve">Tiết diện cột: </t>
    </r>
    <r>
      <rPr>
        <i/>
        <sz val="12"/>
        <color theme="1"/>
        <rFont val="Arial"/>
        <family val="2"/>
      </rPr>
      <t xml:space="preserve"> b</t>
    </r>
    <r>
      <rPr>
        <i/>
        <sz val="8"/>
        <color theme="1"/>
        <rFont val="Arial"/>
        <family val="2"/>
      </rPr>
      <t>c</t>
    </r>
    <r>
      <rPr>
        <i/>
        <sz val="12"/>
        <color theme="1"/>
        <rFont val="Arial"/>
        <family val="2"/>
      </rPr>
      <t xml:space="preserve"> </t>
    </r>
    <r>
      <rPr>
        <i/>
        <sz val="8"/>
        <color theme="1"/>
        <rFont val="Arial"/>
        <family val="2"/>
      </rPr>
      <t>x</t>
    </r>
    <r>
      <rPr>
        <i/>
        <sz val="12"/>
        <color theme="1"/>
        <rFont val="Arial"/>
        <family val="2"/>
      </rPr>
      <t xml:space="preserve"> h</t>
    </r>
    <r>
      <rPr>
        <i/>
        <sz val="8"/>
        <color theme="1"/>
        <rFont val="Arial"/>
        <family val="2"/>
      </rPr>
      <t>c</t>
    </r>
    <r>
      <rPr>
        <i/>
        <sz val="12"/>
        <color theme="1"/>
        <rFont val="Arial"/>
        <family val="2"/>
      </rPr>
      <t xml:space="preserve"> =</t>
    </r>
    <r>
      <rPr>
        <sz val="12"/>
        <color theme="1"/>
        <rFont val="Arial"/>
        <family val="2"/>
      </rPr>
      <t xml:space="preserve"> </t>
    </r>
  </si>
  <si>
    <r>
      <t xml:space="preserve">Nhịp tính toán ở nhịp bien và nhịp giữa đều bằng  </t>
    </r>
    <r>
      <rPr>
        <i/>
        <sz val="12"/>
        <color theme="1"/>
        <rFont val="Arial"/>
        <family val="2"/>
      </rPr>
      <t>l =</t>
    </r>
  </si>
  <si>
    <t>Trọng lượng bản thân dầm quy về các lực tập trung:</t>
  </si>
  <si>
    <r>
      <t>G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b</t>
    </r>
    <r>
      <rPr>
        <i/>
        <vertAlign val="subscript"/>
        <sz val="12"/>
        <color theme="1"/>
        <rFont val="Arial"/>
        <family val="2"/>
      </rPr>
      <t>dc</t>
    </r>
    <r>
      <rPr>
        <i/>
        <sz val="12"/>
        <color theme="1"/>
        <rFont val="Arial"/>
        <family val="2"/>
      </rPr>
      <t>(h</t>
    </r>
    <r>
      <rPr>
        <i/>
        <vertAlign val="subscript"/>
        <sz val="12"/>
        <color theme="1"/>
        <rFont val="Arial"/>
        <family val="2"/>
      </rPr>
      <t>dc</t>
    </r>
    <r>
      <rPr>
        <i/>
        <sz val="12"/>
        <color theme="1"/>
        <rFont val="Arial"/>
        <family val="2"/>
      </rPr>
      <t xml:space="preserve"> – h</t>
    </r>
    <r>
      <rPr>
        <i/>
        <vertAlign val="subscript"/>
        <sz val="12"/>
        <color theme="1"/>
        <rFont val="Arial"/>
        <family val="2"/>
      </rPr>
      <t>b</t>
    </r>
    <r>
      <rPr>
        <i/>
        <sz val="12"/>
        <color theme="1"/>
        <rFont val="Arial"/>
        <family val="2"/>
      </rPr>
      <t>)</t>
    </r>
    <r>
      <rPr>
        <i/>
        <sz val="12"/>
        <color theme="1"/>
        <rFont val="Symbol"/>
        <family val="1"/>
        <charset val="2"/>
      </rPr>
      <t>g</t>
    </r>
    <r>
      <rPr>
        <i/>
        <sz val="12"/>
        <color theme="1"/>
        <rFont val="Arial"/>
        <family val="2"/>
      </rPr>
      <t>.n.l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 </t>
    </r>
  </si>
  <si>
    <t xml:space="preserve">) . 25. </t>
  </si>
  <si>
    <t>Tĩnh tải do dầm phụ truyền vào:</t>
  </si>
  <si>
    <r>
      <t>G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 g</t>
    </r>
    <r>
      <rPr>
        <i/>
        <vertAlign val="subscript"/>
        <sz val="12"/>
        <color theme="1"/>
        <rFont val="Arial"/>
        <family val="2"/>
      </rPr>
      <t>dp</t>
    </r>
    <r>
      <rPr>
        <i/>
        <sz val="12"/>
        <color theme="1"/>
        <rFont val="Arial"/>
        <family val="2"/>
      </rPr>
      <t>.l</t>
    </r>
    <r>
      <rPr>
        <i/>
        <vertAlign val="subscript"/>
        <sz val="12"/>
        <color theme="1"/>
        <rFont val="Arial"/>
        <family val="2"/>
      </rPr>
      <t>2</t>
    </r>
    <r>
      <rPr>
        <i/>
        <sz val="12"/>
        <color theme="1"/>
        <rFont val="Arial"/>
        <family val="2"/>
      </rPr>
      <t xml:space="preserve"> = </t>
    </r>
  </si>
  <si>
    <t>Tĩnh tải tác dụng tập trung:</t>
  </si>
  <si>
    <r>
      <t>G = G</t>
    </r>
    <r>
      <rPr>
        <i/>
        <vertAlign val="subscript"/>
        <sz val="12"/>
        <color theme="1"/>
        <rFont val="Arial"/>
        <family val="2"/>
      </rPr>
      <t xml:space="preserve">o </t>
    </r>
    <r>
      <rPr>
        <i/>
        <sz val="12"/>
        <color theme="1"/>
        <rFont val="Arial"/>
        <family val="2"/>
      </rPr>
      <t>+ G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 </t>
    </r>
  </si>
  <si>
    <t>Hoạt tải tác dụng tập trung truyền vào từ dầm phụ:</t>
  </si>
  <si>
    <r>
      <t>P = p</t>
    </r>
    <r>
      <rPr>
        <i/>
        <vertAlign val="subscript"/>
        <sz val="12"/>
        <color theme="1"/>
        <rFont val="Arial"/>
        <family val="2"/>
      </rPr>
      <t>dp</t>
    </r>
    <r>
      <rPr>
        <i/>
        <sz val="12"/>
        <color theme="1"/>
        <rFont val="Arial"/>
        <family val="2"/>
      </rPr>
      <t xml:space="preserve"> . l</t>
    </r>
    <r>
      <rPr>
        <i/>
        <vertAlign val="subscript"/>
        <sz val="12"/>
        <color theme="1"/>
        <rFont val="Arial"/>
        <family val="2"/>
      </rPr>
      <t>2</t>
    </r>
    <r>
      <rPr>
        <i/>
        <sz val="12"/>
        <color theme="1"/>
        <rFont val="Arial"/>
        <family val="2"/>
      </rPr>
      <t xml:space="preserve"> =</t>
    </r>
  </si>
  <si>
    <t>a, Xác định biểu đồ bao mômen</t>
  </si>
  <si>
    <t>Xác định biểu đồ mô men uốn do tĩnh tải G:</t>
  </si>
  <si>
    <r>
      <t xml:space="preserve">Tra phụ lục 12, được hệ số </t>
    </r>
    <r>
      <rPr>
        <sz val="12"/>
        <color theme="1"/>
        <rFont val="Symbol"/>
        <family val="1"/>
        <charset val="2"/>
      </rPr>
      <t>a</t>
    </r>
    <r>
      <rPr>
        <sz val="12"/>
        <color theme="1"/>
        <rFont val="Arial"/>
        <family val="2"/>
      </rPr>
      <t>, ta có:</t>
    </r>
  </si>
  <si>
    <t>.3.</t>
  </si>
  <si>
    <r>
      <t xml:space="preserve">=  </t>
    </r>
    <r>
      <rPr>
        <sz val="12"/>
        <color theme="1"/>
        <rFont val="Symbol"/>
        <family val="1"/>
        <charset val="2"/>
      </rPr>
      <t>a .</t>
    </r>
  </si>
  <si>
    <r>
      <t>M</t>
    </r>
    <r>
      <rPr>
        <i/>
        <vertAlign val="subscript"/>
        <sz val="12"/>
        <color theme="1"/>
        <rFont val="Arial"/>
        <family val="2"/>
      </rPr>
      <t>G</t>
    </r>
    <r>
      <rPr>
        <i/>
        <sz val="12"/>
        <color theme="1"/>
        <rFont val="Arial"/>
        <family val="2"/>
      </rPr>
      <t xml:space="preserve"> =</t>
    </r>
    <r>
      <rPr>
        <i/>
        <sz val="12"/>
        <color theme="1"/>
        <rFont val="Symbol"/>
        <family val="1"/>
        <charset val="2"/>
      </rPr>
      <t>a</t>
    </r>
    <r>
      <rPr>
        <i/>
        <sz val="12"/>
        <color theme="1"/>
        <rFont val="Arial"/>
        <family val="2"/>
      </rPr>
      <t>.G.3l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 </t>
    </r>
    <r>
      <rPr>
        <i/>
        <sz val="12"/>
        <color theme="1"/>
        <rFont val="Symbol"/>
        <family val="1"/>
        <charset val="2"/>
      </rPr>
      <t>a</t>
    </r>
    <r>
      <rPr>
        <i/>
        <sz val="12"/>
        <color theme="1"/>
        <rFont val="Arial"/>
        <family val="2"/>
      </rPr>
      <t>.</t>
    </r>
  </si>
  <si>
    <r>
      <t xml:space="preserve">Xác định các biểu đồ mômen uốn do các hoạt tải </t>
    </r>
    <r>
      <rPr>
        <i/>
        <sz val="12"/>
        <color theme="1"/>
        <rFont val="Arial"/>
        <family val="2"/>
      </rPr>
      <t>P</t>
    </r>
    <r>
      <rPr>
        <i/>
        <sz val="8"/>
        <color theme="1"/>
        <rFont val="Arial"/>
        <family val="2"/>
      </rPr>
      <t>i</t>
    </r>
    <r>
      <rPr>
        <sz val="12"/>
        <color theme="1"/>
        <rFont val="Arial"/>
        <family val="2"/>
      </rPr>
      <t xml:space="preserve"> tác dụng:</t>
    </r>
  </si>
  <si>
    <t>Ta có:</t>
  </si>
  <si>
    <r>
      <t>Mp</t>
    </r>
    <r>
      <rPr>
        <i/>
        <vertAlign val="subscript"/>
        <sz val="12"/>
        <color theme="1"/>
        <rFont val="Arial"/>
        <family val="2"/>
      </rPr>
      <t>i</t>
    </r>
    <r>
      <rPr>
        <i/>
        <sz val="12"/>
        <color theme="1"/>
        <rFont val="Arial"/>
        <family val="2"/>
      </rPr>
      <t xml:space="preserve"> =</t>
    </r>
    <r>
      <rPr>
        <i/>
        <sz val="12"/>
        <color theme="1"/>
        <rFont val="Symbol"/>
        <family val="1"/>
        <charset val="2"/>
      </rPr>
      <t>a</t>
    </r>
    <r>
      <rPr>
        <i/>
        <sz val="12"/>
        <color theme="1"/>
        <rFont val="Arial"/>
        <family val="2"/>
      </rPr>
      <t>.P.3l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</t>
    </r>
  </si>
  <si>
    <t xml:space="preserve">a. </t>
  </si>
  <si>
    <t>. 3 .</t>
  </si>
  <si>
    <r>
      <t xml:space="preserve">=  </t>
    </r>
    <r>
      <rPr>
        <sz val="12"/>
        <color theme="1"/>
        <rFont val="Symbol"/>
        <family val="1"/>
        <charset val="2"/>
      </rPr>
      <t>a</t>
    </r>
    <r>
      <rPr>
        <sz val="12"/>
        <color theme="1"/>
        <rFont val="Arial"/>
        <family val="2"/>
      </rPr>
      <t xml:space="preserve"> .</t>
    </r>
  </si>
  <si>
    <r>
      <t xml:space="preserve">Để tính toán tiến hành cắt rời các nhịp 1-2, 2-3. Nhịp 1 và 2 có tải trọng, tính </t>
    </r>
    <r>
      <rPr>
        <i/>
        <sz val="12"/>
        <color theme="1"/>
        <rFont val="Arial"/>
        <family val="2"/>
      </rPr>
      <t>M</t>
    </r>
    <r>
      <rPr>
        <i/>
        <sz val="8"/>
        <color theme="1"/>
        <rFont val="Arial"/>
        <family val="2"/>
      </rPr>
      <t>o</t>
    </r>
    <r>
      <rPr>
        <sz val="12"/>
        <color theme="1"/>
        <rFont val="Arial"/>
        <family val="2"/>
      </rPr>
      <t xml:space="preserve"> của dầm đơn giản kê lên hai gối tự do:</t>
    </r>
  </si>
  <si>
    <r>
      <t>M</t>
    </r>
    <r>
      <rPr>
        <i/>
        <vertAlign val="subscript"/>
        <sz val="12"/>
        <color theme="1"/>
        <rFont val="Arial"/>
        <family val="2"/>
      </rPr>
      <t>o</t>
    </r>
    <r>
      <rPr>
        <i/>
        <sz val="12"/>
        <color theme="1"/>
        <rFont val="Arial"/>
        <family val="2"/>
      </rPr>
      <t xml:space="preserve"> = P.l</t>
    </r>
    <r>
      <rPr>
        <i/>
        <vertAlign val="subscript"/>
        <sz val="12"/>
        <color theme="1"/>
        <rFont val="Arial"/>
        <family val="2"/>
      </rPr>
      <t>1</t>
    </r>
    <r>
      <rPr>
        <i/>
        <sz val="12"/>
        <color theme="1"/>
        <rFont val="Arial"/>
        <family val="2"/>
      </rPr>
      <t xml:space="preserve"> =</t>
    </r>
  </si>
  <si>
    <t>HÌNH VẼ SƠ ĐỒ TÍNH</t>
  </si>
  <si>
    <t>SƠ ĐỒ TÍNH BỔ TRỢ MÔ MEN TẠI MỘT SỐ TIẾT DIỆN</t>
  </si>
  <si>
    <t>SƠ ĐÒ TÍNH TOÁN VÀ NỘI LỰC TRONG DẦM PHỤ</t>
  </si>
  <si>
    <t>CÁC MẶT CẮT BỐ TRÍ CỐT THÉP</t>
  </si>
  <si>
    <t>HÌNH 5</t>
  </si>
  <si>
    <t>SƠ ĐỒ TÍNH MẶT CẮT LÝ THUYẾT</t>
  </si>
  <si>
    <t>HÌNH 6</t>
  </si>
  <si>
    <t>HÌNH 7</t>
  </si>
  <si>
    <t>HÌNH 8</t>
  </si>
  <si>
    <t>HÌNH 9</t>
  </si>
  <si>
    <t>Tìm các trường hợp tải trọng tác dụng gây bất lợi cho dầm (hình vẽ 9):</t>
  </si>
  <si>
    <t>Dùng phương pháp treo biểu đồ, kết hợp các quan hệ tam giác đồng dạng (hình vẽ 9), xác định được giá trị mômen:</t>
  </si>
  <si>
    <t>kết quả tính toán được trình bày trong bảng 3.1</t>
  </si>
  <si>
    <t>Bảng 3.1. Tính toán hình bao mômen của dầm phụ</t>
  </si>
  <si>
    <t>Bảng 3.2. Bố trí cốt thép dọc cho các tiết diện chính của dầm phụ</t>
  </si>
  <si>
    <t>Kết quả tính toán khả năng chịu lực được ghi trong bản 3.3, mọi tiết diện đều được tính toán theo trường hợp tiết diện đặt cốt thép đơn</t>
  </si>
  <si>
    <t>Bảng 3.3. khả năng chịu lực của các tiết diện</t>
  </si>
  <si>
    <t>Các cốt thép bị cắt khác cũng xác định mặt cắt lý thuyết và đoạn kéo dài tương tự, kết quả tính toán được ghi vào bảng 3.4</t>
  </si>
  <si>
    <t>Bảng 3.4. mặt cắt lý thuyết và đoạn kéo dài của các cốt thép</t>
  </si>
  <si>
    <t xml:space="preserve">men </t>
  </si>
  <si>
    <t>m)</t>
  </si>
  <si>
    <t>(kN</t>
  </si>
  <si>
    <t>Mô</t>
  </si>
  <si>
    <t>M</t>
  </si>
  <si>
    <t>max</t>
  </si>
  <si>
    <t>min</t>
  </si>
  <si>
    <r>
      <t>M</t>
    </r>
    <r>
      <rPr>
        <sz val="8"/>
        <color theme="1"/>
        <rFont val="Arial"/>
        <family val="2"/>
      </rPr>
      <t>G</t>
    </r>
  </si>
  <si>
    <r>
      <t>M</t>
    </r>
    <r>
      <rPr>
        <sz val="8"/>
        <color theme="1"/>
        <rFont val="Arial"/>
        <family val="2"/>
      </rPr>
      <t>P1</t>
    </r>
  </si>
  <si>
    <r>
      <t>M</t>
    </r>
    <r>
      <rPr>
        <sz val="8"/>
        <color theme="1"/>
        <rFont val="Arial"/>
        <family val="2"/>
      </rPr>
      <t>P2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</si>
  <si>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sz val="8"/>
        <color theme="1"/>
        <rFont val="Arial"/>
        <family val="2"/>
      </rPr>
      <t>P3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</si>
  <si>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sz val="8"/>
        <color theme="1"/>
        <rFont val="Arial"/>
        <family val="2"/>
      </rPr>
      <t>P4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</si>
  <si>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sz val="8"/>
        <color theme="1"/>
        <rFont val="Arial"/>
        <family val="2"/>
      </rPr>
      <t>P5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</si>
  <si>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sz val="8"/>
        <color theme="1"/>
        <rFont val="Arial"/>
        <family val="2"/>
      </rPr>
      <t>P6</t>
    </r>
    <r>
      <rPr>
        <sz val="11"/>
        <color theme="1"/>
        <rFont val="Calibri"/>
        <family val="2"/>
        <scheme val="minor"/>
      </rPr>
      <t/>
    </r>
  </si>
  <si>
    <t>C</t>
  </si>
  <si>
    <t>trường hợp bất lợi của hoạt tải, xem hình….</t>
  </si>
  <si>
    <t xml:space="preserve">Xét </t>
  </si>
  <si>
    <t xml:space="preserve">- Cốt thép bản và đai dầm nhóm </t>
  </si>
  <si>
    <t xml:space="preserve">- Cốt thép dọc dầm nhóm 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</si>
  <si>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</si>
  <si>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</si>
  <si>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.</t>
  </si>
  <si>
    <t>.   (</t>
  </si>
  <si>
    <r>
      <t xml:space="preserve">Chọn </t>
    </r>
    <r>
      <rPr>
        <i/>
        <sz val="12"/>
        <color theme="1"/>
        <rFont val="Arial"/>
        <family val="2"/>
      </rPr>
      <t>q</t>
    </r>
    <r>
      <rPr>
        <i/>
        <vertAlign val="subscript"/>
        <sz val="12"/>
        <color theme="1"/>
        <rFont val="Arial"/>
        <family val="2"/>
      </rPr>
      <t>sw</t>
    </r>
    <r>
      <rPr>
        <sz val="12"/>
        <color theme="1"/>
        <rFont val="Arial"/>
        <family val="2"/>
      </rPr>
      <t xml:space="preserve"> = </t>
    </r>
  </si>
  <si>
    <t>CI</t>
  </si>
  <si>
    <t>CII</t>
  </si>
  <si>
    <t>STT</t>
  </si>
  <si>
    <r>
      <t xml:space="preserve">đương kính
</t>
    </r>
    <r>
      <rPr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(mm)</t>
    </r>
  </si>
  <si>
    <t>chiều dài 1 thanh
(mm)</t>
  </si>
  <si>
    <t>số lượng thanh/ toàn bộ CK</t>
  </si>
  <si>
    <t>tổng chiều dài (m)</t>
  </si>
  <si>
    <t>khối lượng
(kg)</t>
  </si>
  <si>
    <t>KLR</t>
  </si>
  <si>
    <t>Thống kê thép</t>
  </si>
  <si>
    <r>
      <t xml:space="preserve">  0,6 x q</t>
    </r>
    <r>
      <rPr>
        <vertAlign val="subscript"/>
        <sz val="12"/>
        <color theme="1"/>
        <rFont val="Arial"/>
        <family val="2"/>
      </rPr>
      <t>b</t>
    </r>
    <r>
      <rPr>
        <sz val="12"/>
        <color theme="1"/>
        <rFont val="Arial"/>
        <family val="2"/>
      </rPr>
      <t xml:space="preserve"> x l</t>
    </r>
    <r>
      <rPr>
        <vertAlign val="subscript"/>
        <sz val="12"/>
        <color theme="1"/>
        <rFont val="Arial"/>
        <family val="2"/>
      </rPr>
      <t xml:space="preserve">ob </t>
    </r>
    <r>
      <rPr>
        <sz val="12"/>
        <color theme="1"/>
        <rFont val="Arial"/>
        <family val="2"/>
      </rPr>
      <t>=</t>
    </r>
  </si>
  <si>
    <r>
      <rPr>
        <sz val="8"/>
        <color theme="1"/>
        <rFont val="Arial"/>
        <family val="2"/>
      </rPr>
      <t>x</t>
    </r>
    <r>
      <rPr>
        <sz val="12"/>
        <color theme="1"/>
        <rFont val="Arial"/>
        <family val="2"/>
      </rPr>
      <t xml:space="preserve"> 3 </t>
    </r>
    <r>
      <rPr>
        <sz val="8"/>
        <color theme="1"/>
        <rFont val="Arial"/>
        <family val="2"/>
      </rPr>
      <t>x</t>
    </r>
  </si>
  <si>
    <t>( hình vẽ 1a, 2b)</t>
  </si>
  <si>
    <t>±</t>
  </si>
  <si>
    <t>15a</t>
  </si>
  <si>
    <t>Mặt cắt lý thuyết cốt thép số 4</t>
  </si>
  <si>
    <t>Sau khi cắt cốt thép số 4, tiết diện gần gối 2, nhịp biên, khả năng chịu mômen uốn ở thớ trên là</t>
  </si>
  <si>
    <r>
      <t>Biểu đồ vật liệu cắt biểu đồ mômen ở điểm H</t>
    </r>
    <r>
      <rPr>
        <sz val="8"/>
        <color theme="1"/>
        <rFont val="Arial"/>
        <family val="2"/>
      </rPr>
      <t>41</t>
    </r>
    <r>
      <rPr>
        <sz val="12"/>
        <color theme="1"/>
        <rFont val="Arial"/>
        <family val="2"/>
      </rPr>
      <t>, đây là mặt cắt lý thuyết của cốt thép số 4. Bằng quan hệ hình học giữa các</t>
    </r>
  </si>
  <si>
    <r>
      <t>tam giác đồng dạng, xác định được khoảng cách từ điểm H</t>
    </r>
    <r>
      <rPr>
        <sz val="8"/>
        <color theme="1"/>
        <rFont val="Arial"/>
        <family val="2"/>
      </rPr>
      <t>41</t>
    </r>
    <r>
      <rPr>
        <sz val="12"/>
        <color theme="1"/>
        <rFont val="Arial"/>
        <family val="2"/>
      </rPr>
      <t xml:space="preserve"> đến mép trái gối 2 là</t>
    </r>
  </si>
  <si>
    <t>Sau khi cắt cốt thép số 4 , tiết diện gần gối 2, nhịp thứ hai, khả năng chịu mômen uốn ở thớ trên là</t>
  </si>
  <si>
    <r>
      <t>Biểu đồ vật liệu cắt biểu đồ mômen ở điểm H</t>
    </r>
    <r>
      <rPr>
        <sz val="8"/>
        <color theme="1"/>
        <rFont val="Arial"/>
        <family val="2"/>
      </rPr>
      <t>42</t>
    </r>
    <r>
      <rPr>
        <sz val="12"/>
        <color theme="1"/>
        <rFont val="Arial"/>
        <family val="2"/>
      </rPr>
      <t>, đây là mặt cắt lý thuyết của cốt thép số 4. Bằng quan hệ hình học giữa các</t>
    </r>
  </si>
  <si>
    <r>
      <t>tam giác đồng dạng, xác định được khoảng cách từ điểm H</t>
    </r>
    <r>
      <rPr>
        <sz val="8"/>
        <color theme="1"/>
        <rFont val="Arial"/>
        <family val="2"/>
      </rPr>
      <t>42</t>
    </r>
    <r>
      <rPr>
        <sz val="12"/>
        <color theme="1"/>
        <rFont val="Arial"/>
        <family val="2"/>
      </rPr>
      <t xml:space="preserve"> đến mép phải gối 2 là</t>
    </r>
  </si>
  <si>
    <r>
      <t>Xác định đoạn kéo dài W</t>
    </r>
    <r>
      <rPr>
        <sz val="8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: </t>
    </r>
  </si>
  <si>
    <r>
      <t>Giá trị lực cắt Q ( độ dốc của biểu đồ mômen) tại H</t>
    </r>
    <r>
      <rPr>
        <sz val="8"/>
        <color theme="1"/>
        <rFont val="Arial"/>
        <family val="2"/>
      </rPr>
      <t>41</t>
    </r>
    <r>
      <rPr>
        <sz val="12"/>
        <color theme="1"/>
        <rFont val="Arial"/>
        <family val="2"/>
      </rPr>
      <t xml:space="preserve"> là:</t>
    </r>
  </si>
  <si>
    <r>
      <rPr>
        <i/>
        <sz val="12"/>
        <color theme="1"/>
        <rFont val="Symbol"/>
        <family val="1"/>
        <charset val="2"/>
      </rPr>
      <t>f</t>
    </r>
    <r>
      <rPr>
        <sz val="12"/>
        <color theme="1"/>
        <rFont val="Arial"/>
        <family val="2"/>
      </rPr>
      <t xml:space="preserve"> là đường kính thanh thép số 4</t>
    </r>
  </si>
  <si>
    <r>
      <t>Giá trị lực cắt Q ( độ dốc của biểu đồ mômen) tại H</t>
    </r>
    <r>
      <rPr>
        <sz val="8"/>
        <color theme="1"/>
        <rFont val="Arial"/>
        <family val="2"/>
      </rPr>
      <t>42</t>
    </r>
    <r>
      <rPr>
        <sz val="12"/>
        <color theme="1"/>
        <rFont val="Arial"/>
        <family val="2"/>
      </rPr>
      <t xml:space="preserve"> là:</t>
    </r>
  </si>
  <si>
    <t>Cốt thép số 2 (đầu bên trái)</t>
  </si>
  <si>
    <t>Cốt thép số 2 (đầu bên phải)</t>
  </si>
  <si>
    <t>Cốt thép số 6 (đầu bên trái)</t>
  </si>
  <si>
    <t>Cốt thép số 6 (đầu bên phải)</t>
  </si>
  <si>
    <t>Cách mép phải gối 2 là</t>
  </si>
  <si>
    <r>
      <t>W</t>
    </r>
    <r>
      <rPr>
        <vertAlign val="superscript"/>
        <sz val="12"/>
        <color theme="1"/>
        <rFont val="Arial"/>
        <family val="2"/>
      </rPr>
      <t>tr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</si>
  <si>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ph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</si>
  <si>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tr</t>
    </r>
    <r>
      <rPr>
        <vertAlign val="sub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</si>
  <si>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ph</t>
    </r>
    <r>
      <rPr>
        <vertAlign val="sub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</si>
  <si>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tr</t>
    </r>
    <r>
      <rPr>
        <vertAlign val="sub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</si>
  <si>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ph</t>
    </r>
    <r>
      <rPr>
        <vertAlign val="sub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=</t>
    </r>
  </si>
  <si>
    <r>
      <t>W</t>
    </r>
    <r>
      <rPr>
        <vertAlign val="superscript"/>
        <sz val="12"/>
        <color theme="1"/>
        <rFont val="Arial"/>
        <family val="2"/>
      </rPr>
      <t>tr</t>
    </r>
    <r>
      <rPr>
        <vertAlign val="subscript"/>
        <sz val="12"/>
        <color theme="1"/>
        <rFont val="Arial"/>
        <family val="2"/>
      </rPr>
      <t>10</t>
    </r>
    <r>
      <rPr>
        <sz val="12"/>
        <color theme="1"/>
        <rFont val="Arial"/>
        <family val="2"/>
      </rPr>
      <t xml:space="preserve"> =</t>
    </r>
  </si>
  <si>
    <t>số2</t>
  </si>
  <si>
    <t>số4,3</t>
  </si>
  <si>
    <t>số6</t>
  </si>
  <si>
    <t>số9,8</t>
  </si>
  <si>
    <t>Q</t>
  </si>
  <si>
    <t>2*qsw</t>
  </si>
  <si>
    <t>5*f</t>
  </si>
  <si>
    <t xml:space="preserve">      ----------------------------------------------------------------------  =</t>
  </si>
  <si>
    <t>Biểu đồ bao mômen:</t>
  </si>
  <si>
    <t>Tung độ của biểu đồ bao mômen:</t>
  </si>
  <si>
    <r>
      <t>M</t>
    </r>
    <r>
      <rPr>
        <i/>
        <vertAlign val="subscript"/>
        <sz val="12"/>
        <color theme="1"/>
        <rFont val="Arial"/>
        <family val="2"/>
      </rPr>
      <t>max</t>
    </r>
    <r>
      <rPr>
        <i/>
        <sz val="12"/>
        <color theme="1"/>
        <rFont val="Arial"/>
        <family val="2"/>
      </rPr>
      <t xml:space="preserve"> = M</t>
    </r>
    <r>
      <rPr>
        <i/>
        <vertAlign val="subscript"/>
        <sz val="12"/>
        <color theme="1"/>
        <rFont val="Arial"/>
        <family val="2"/>
      </rPr>
      <t>G</t>
    </r>
    <r>
      <rPr>
        <i/>
        <sz val="12"/>
        <color theme="1"/>
        <rFont val="Arial"/>
        <family val="2"/>
      </rPr>
      <t xml:space="preserve"> + max(M</t>
    </r>
    <r>
      <rPr>
        <i/>
        <vertAlign val="subscript"/>
        <sz val="12"/>
        <color theme="1"/>
        <rFont val="Arial"/>
        <family val="2"/>
      </rPr>
      <t>Pi</t>
    </r>
    <r>
      <rPr>
        <i/>
        <sz val="12"/>
        <color theme="1"/>
        <rFont val="Arial"/>
        <family val="2"/>
      </rPr>
      <t>);</t>
    </r>
  </si>
  <si>
    <r>
      <t>M</t>
    </r>
    <r>
      <rPr>
        <i/>
        <vertAlign val="subscript"/>
        <sz val="12"/>
        <color theme="1"/>
        <rFont val="Arial"/>
        <family val="2"/>
      </rPr>
      <t>min</t>
    </r>
    <r>
      <rPr>
        <i/>
        <sz val="12"/>
        <color theme="1"/>
        <rFont val="Arial"/>
        <family val="2"/>
      </rPr>
      <t xml:space="preserve"> = M</t>
    </r>
    <r>
      <rPr>
        <i/>
        <vertAlign val="subscript"/>
        <sz val="12"/>
        <color theme="1"/>
        <rFont val="Arial"/>
        <family val="2"/>
      </rPr>
      <t>G</t>
    </r>
    <r>
      <rPr>
        <i/>
        <sz val="12"/>
        <color theme="1"/>
        <rFont val="Arial"/>
        <family val="2"/>
      </rPr>
      <t xml:space="preserve"> + min(M</t>
    </r>
    <r>
      <rPr>
        <i/>
        <vertAlign val="subscript"/>
        <sz val="12"/>
        <color theme="1"/>
        <rFont val="Arial"/>
        <family val="2"/>
      </rPr>
      <t>Pi</t>
    </r>
    <r>
      <rPr>
        <i/>
        <sz val="12"/>
        <color theme="1"/>
        <rFont val="Arial"/>
        <family val="2"/>
      </rPr>
      <t xml:space="preserve">) </t>
    </r>
  </si>
  <si>
    <r>
      <t xml:space="preserve">Tính toán </t>
    </r>
    <r>
      <rPr>
        <i/>
        <sz val="12"/>
        <color theme="1"/>
        <rFont val="Arial"/>
        <family val="2"/>
      </rPr>
      <t>M</t>
    </r>
    <r>
      <rPr>
        <i/>
        <sz val="8"/>
        <color theme="1"/>
        <rFont val="Arial"/>
        <family val="2"/>
      </rPr>
      <t>max</t>
    </r>
    <r>
      <rPr>
        <sz val="12"/>
        <color theme="1"/>
        <rFont val="Arial"/>
        <family val="2"/>
      </rPr>
      <t xml:space="preserve"> và </t>
    </r>
    <r>
      <rPr>
        <i/>
        <sz val="12"/>
        <color theme="1"/>
        <rFont val="Arial"/>
        <family val="2"/>
      </rPr>
      <t>M</t>
    </r>
    <r>
      <rPr>
        <i/>
        <sz val="8"/>
        <color theme="1"/>
        <rFont val="Arial"/>
        <family val="2"/>
      </rPr>
      <t>min</t>
    </r>
    <r>
      <rPr>
        <sz val="12"/>
        <color theme="1"/>
        <rFont val="Arial"/>
        <family val="2"/>
      </rPr>
      <t xml:space="preserve"> cho từng tiết diện và ghi vào 2 dòng cuối của bảng 4.1</t>
    </r>
  </si>
  <si>
    <t>Xác định mô men ở mép gối: từ hình bao mô men trên gối B, thấy rằng phía bên phải độ dốc của</t>
  </si>
  <si>
    <t>biểu đồ Mmin bé hơn phía bên trái. Tính mô men mép bên phía phải gối B sẽ có giá trị tuyệt đối lớn hơn.</t>
  </si>
  <si>
    <r>
      <rPr>
        <i/>
        <sz val="12"/>
        <color theme="1"/>
        <rFont val="Arial"/>
        <family val="2"/>
      </rPr>
      <t>M</t>
    </r>
    <r>
      <rPr>
        <i/>
        <sz val="8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= </t>
    </r>
  </si>
  <si>
    <t>.(</t>
  </si>
  <si>
    <r>
      <rPr>
        <sz val="16"/>
        <color theme="1"/>
        <rFont val="Arial"/>
        <family val="2"/>
      </rPr>
      <t>-</t>
    </r>
    <r>
      <rPr>
        <sz val="12"/>
        <color theme="1"/>
        <rFont val="Arial"/>
        <family val="2"/>
      </rPr>
      <t xml:space="preserve">   ------------------------------------------------------------------------------   =</t>
    </r>
  </si>
  <si>
    <t>2 .</t>
  </si>
  <si>
    <t>b, Xác định biểu đồ bao lực cắt</t>
  </si>
  <si>
    <t>Tung độ của biểu đồ bao lực cắt:</t>
  </si>
  <si>
    <t>(kN).</t>
  </si>
  <si>
    <r>
      <t>- Do tác dụng của hoạt tải Pi: Q</t>
    </r>
    <r>
      <rPr>
        <sz val="8"/>
        <color theme="1"/>
        <rFont val="Arial"/>
        <family val="2"/>
      </rPr>
      <t>Pi</t>
    </r>
    <r>
      <rPr>
        <sz val="12"/>
        <color theme="1"/>
        <rFont val="Arial"/>
        <family val="2"/>
      </rPr>
      <t xml:space="preserve"> = 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Arial"/>
        <family val="2"/>
      </rPr>
      <t>P</t>
    </r>
    <r>
      <rPr>
        <sz val="8"/>
        <color theme="1"/>
        <rFont val="Arial"/>
        <family val="2"/>
      </rPr>
      <t>i</t>
    </r>
    <r>
      <rPr>
        <sz val="12"/>
        <color theme="1"/>
        <rFont val="Arial"/>
        <family val="2"/>
      </rPr>
      <t xml:space="preserve"> = </t>
    </r>
    <r>
      <rPr>
        <sz val="12"/>
        <color theme="1"/>
        <rFont val="Symbol"/>
        <family val="1"/>
        <charset val="2"/>
      </rPr>
      <t>b</t>
    </r>
    <r>
      <rPr>
        <sz val="8"/>
        <color theme="1"/>
        <rFont val="Arial"/>
        <family val="2"/>
      </rPr>
      <t>i</t>
    </r>
    <r>
      <rPr>
        <sz val="12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x</t>
    </r>
  </si>
  <si>
    <r>
      <t xml:space="preserve">- Do tác dụng của tĩnh tải G: </t>
    </r>
    <r>
      <rPr>
        <i/>
        <sz val="12"/>
        <color theme="1"/>
        <rFont val="Arial"/>
        <family val="2"/>
      </rPr>
      <t>Q</t>
    </r>
    <r>
      <rPr>
        <sz val="8"/>
        <color theme="1"/>
        <rFont val="Arial"/>
        <family val="2"/>
      </rPr>
      <t xml:space="preserve">G </t>
    </r>
    <r>
      <rPr>
        <sz val="12"/>
        <color theme="1"/>
        <rFont val="Arial"/>
        <family val="2"/>
      </rPr>
      <t xml:space="preserve">= </t>
    </r>
    <r>
      <rPr>
        <sz val="12"/>
        <color theme="1"/>
        <rFont val="Symbol"/>
        <family val="1"/>
        <charset val="2"/>
      </rPr>
      <t>b</t>
    </r>
    <r>
      <rPr>
        <sz val="8"/>
        <color theme="1"/>
        <rFont val="Arial"/>
        <family val="2"/>
      </rPr>
      <t>G</t>
    </r>
    <r>
      <rPr>
        <sz val="12"/>
        <color theme="1"/>
        <rFont val="Arial"/>
        <family val="2"/>
      </rPr>
      <t xml:space="preserve"> = 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x</t>
    </r>
  </si>
  <si>
    <t>hình 10. sơ đồ tính mô men trong dầm</t>
  </si>
  <si>
    <t>Trong đó hệ số b lấy theo phụ lục 12, các trường hợp tải trọng lấy theo hình 10, kết quả ghi trong bảng 4.2:</t>
  </si>
  <si>
    <t xml:space="preserve">Lấy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</si>
</sst>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"/>
    <numFmt numFmtId="166" formatCode="0.0000"/>
    <numFmt numFmtId="167" formatCode="0.00000"/>
    <numFmt numFmtId="168" formatCode="0.000000"/>
    <numFmt numFmtId="169" formatCode="0.000%"/>
  </numFmts>
  <fonts count="4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4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12"/>
      <color theme="1"/>
      <name val="Symbol"/>
      <family val="1"/>
      <charset val="2"/>
    </font>
    <font>
      <sz val="12"/>
      <color rgb="FFFF0000"/>
      <name val="Arial"/>
      <family val="2"/>
    </font>
    <font>
      <sz val="12"/>
      <color theme="1"/>
      <name val="Symbol"/>
      <family val="1"/>
      <charset val="2"/>
    </font>
    <font>
      <sz val="12"/>
      <color theme="0"/>
      <name val="Arial"/>
      <family val="2"/>
    </font>
    <font>
      <vertAlign val="superscript"/>
      <sz val="12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Arial"/>
      <family val="2"/>
    </font>
    <font>
      <i/>
      <vertAlign val="sub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2"/>
      <color rgb="FF000000"/>
      <name val="Arial"/>
      <family val="2"/>
    </font>
    <font>
      <sz val="8"/>
      <color rgb="FF000000"/>
      <name val="Arial"/>
      <family val="2"/>
    </font>
    <font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Symbol"/>
      <family val="1"/>
      <charset val="2"/>
    </font>
    <font>
      <sz val="14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i/>
      <sz val="12"/>
      <color theme="1"/>
      <name val="Symbol"/>
      <family val="1"/>
      <charset val="2"/>
    </font>
    <font>
      <i/>
      <sz val="8"/>
      <color theme="1"/>
      <name val="Arial"/>
      <family val="2"/>
    </font>
    <font>
      <sz val="16"/>
      <color theme="1"/>
      <name val="Arial"/>
      <family val="2"/>
    </font>
    <font>
      <b/>
      <sz val="8"/>
      <color rgb="FFFF0000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sz val="12"/>
      <color rgb="FF0000FF"/>
      <name val="Arial"/>
      <family val="2"/>
    </font>
    <font>
      <sz val="12"/>
      <color rgb="FF00FF00"/>
      <name val="Arial"/>
      <family val="2"/>
    </font>
    <font>
      <sz val="12"/>
      <color rgb="FFFF0066"/>
      <name val="Arial"/>
      <family val="2"/>
    </font>
    <font>
      <b/>
      <sz val="12"/>
      <color rgb="FFFF0066"/>
      <name val="Arial"/>
      <family val="2"/>
    </font>
    <font>
      <sz val="14"/>
      <color rgb="FF0000FF"/>
      <name val="Arial"/>
      <family val="2"/>
    </font>
    <font>
      <sz val="14"/>
      <color rgb="FFFF0066"/>
      <name val="Arial"/>
      <family val="2"/>
    </font>
    <font>
      <sz val="12"/>
      <color theme="1"/>
      <name val="Calibri"/>
      <family val="2"/>
    </font>
    <font>
      <sz val="12"/>
      <color theme="0"/>
      <name val="Symbol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4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right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left" vertical="center"/>
    </xf>
    <xf numFmtId="0" fontId="1" fillId="5" borderId="13" xfId="0" applyFont="1" applyFill="1" applyBorder="1" applyAlignment="1">
      <alignment horizontal="left" vertical="center"/>
    </xf>
    <xf numFmtId="0" fontId="1" fillId="8" borderId="8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20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left" vertical="center"/>
    </xf>
    <xf numFmtId="0" fontId="1" fillId="6" borderId="0" xfId="0" applyFont="1" applyFill="1" applyBorder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" fillId="6" borderId="22" xfId="0" applyFont="1" applyFill="1" applyBorder="1" applyAlignment="1">
      <alignment horizontal="left" vertical="center"/>
    </xf>
    <xf numFmtId="0" fontId="1" fillId="6" borderId="15" xfId="0" applyFont="1" applyFill="1" applyBorder="1" applyAlignment="1">
      <alignment horizontal="left" vertical="center"/>
    </xf>
    <xf numFmtId="0" fontId="1" fillId="6" borderId="23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0" xfId="0" quotePrefix="1" applyFont="1" applyFill="1" applyAlignment="1">
      <alignment horizontal="left" vertical="center"/>
    </xf>
    <xf numFmtId="0" fontId="1" fillId="5" borderId="19" xfId="0" applyFont="1" applyFill="1" applyBorder="1" applyAlignment="1">
      <alignment horizontal="left"/>
    </xf>
    <xf numFmtId="0" fontId="1" fillId="5" borderId="20" xfId="0" applyFont="1" applyFill="1" applyBorder="1" applyAlignment="1">
      <alignment horizontal="left" vertical="center"/>
    </xf>
    <xf numFmtId="0" fontId="1" fillId="5" borderId="21" xfId="0" applyFont="1" applyFill="1" applyBorder="1" applyAlignment="1">
      <alignment horizontal="left" vertical="center"/>
    </xf>
    <xf numFmtId="0" fontId="1" fillId="5" borderId="22" xfId="0" applyFont="1" applyFill="1" applyBorder="1" applyAlignment="1">
      <alignment horizontal="left" vertical="center"/>
    </xf>
    <xf numFmtId="0" fontId="1" fillId="5" borderId="15" xfId="0" applyFont="1" applyFill="1" applyBorder="1" applyAlignment="1">
      <alignment horizontal="left" vertical="center"/>
    </xf>
    <xf numFmtId="0" fontId="1" fillId="5" borderId="23" xfId="0" applyFont="1" applyFill="1" applyBorder="1" applyAlignment="1">
      <alignment horizontal="left" vertical="center"/>
    </xf>
    <xf numFmtId="0" fontId="1" fillId="5" borderId="26" xfId="0" applyFont="1" applyFill="1" applyBorder="1" applyAlignment="1">
      <alignment horizontal="left" vertical="center"/>
    </xf>
    <xf numFmtId="0" fontId="1" fillId="5" borderId="18" xfId="0" applyFont="1" applyFill="1" applyBorder="1" applyAlignment="1">
      <alignment horizontal="left" vertical="center"/>
    </xf>
    <xf numFmtId="0" fontId="1" fillId="5" borderId="27" xfId="0" applyFont="1" applyFill="1" applyBorder="1" applyAlignment="1">
      <alignment horizontal="left" vertical="center"/>
    </xf>
    <xf numFmtId="0" fontId="1" fillId="5" borderId="24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4" borderId="19" xfId="0" applyFont="1" applyFill="1" applyBorder="1" applyAlignment="1">
      <alignment horizontal="left" vertical="center"/>
    </xf>
    <xf numFmtId="0" fontId="1" fillId="4" borderId="20" xfId="0" applyFont="1" applyFill="1" applyBorder="1" applyAlignment="1">
      <alignment horizontal="left" vertical="center"/>
    </xf>
    <xf numFmtId="0" fontId="1" fillId="4" borderId="21" xfId="0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0" fontId="1" fillId="2" borderId="29" xfId="0" applyFont="1" applyFill="1" applyBorder="1" applyAlignment="1">
      <alignment horizontal="left" vertical="center"/>
    </xf>
    <xf numFmtId="0" fontId="1" fillId="6" borderId="28" xfId="0" applyFont="1" applyFill="1" applyBorder="1" applyAlignment="1">
      <alignment horizontal="left" vertical="center"/>
    </xf>
    <xf numFmtId="0" fontId="1" fillId="6" borderId="29" xfId="0" applyFont="1" applyFill="1" applyBorder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2" fillId="0" borderId="0" xfId="0" applyFont="1"/>
    <xf numFmtId="0" fontId="6" fillId="0" borderId="0" xfId="0" applyFont="1"/>
    <xf numFmtId="0" fontId="1" fillId="4" borderId="1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6" borderId="0" xfId="0" applyFont="1" applyFill="1"/>
    <xf numFmtId="0" fontId="2" fillId="6" borderId="0" xfId="0" applyFont="1" applyFill="1"/>
    <xf numFmtId="0" fontId="3" fillId="6" borderId="0" xfId="0" applyFont="1" applyFill="1"/>
    <xf numFmtId="0" fontId="6" fillId="6" borderId="0" xfId="0" applyFont="1" applyFill="1"/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left"/>
    </xf>
    <xf numFmtId="0" fontId="1" fillId="6" borderId="0" xfId="0" quotePrefix="1" applyFont="1" applyFill="1"/>
    <xf numFmtId="0" fontId="1" fillId="2" borderId="0" xfId="0" applyFont="1" applyFill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left" vertical="center"/>
    </xf>
    <xf numFmtId="0" fontId="2" fillId="6" borderId="0" xfId="0" quotePrefix="1" applyFont="1" applyFill="1" applyAlignment="1">
      <alignment horizontal="left" vertical="center"/>
    </xf>
    <xf numFmtId="0" fontId="0" fillId="6" borderId="0" xfId="0" applyFill="1"/>
    <xf numFmtId="0" fontId="1" fillId="6" borderId="0" xfId="0" quotePrefix="1" applyFont="1" applyFill="1" applyAlignment="1">
      <alignment horizontal="center" vertical="center"/>
    </xf>
    <xf numFmtId="1" fontId="1" fillId="6" borderId="0" xfId="0" applyNumberFormat="1" applyFont="1" applyFill="1" applyAlignment="1">
      <alignment horizontal="center" vertical="center"/>
    </xf>
    <xf numFmtId="2" fontId="1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right" vertical="center"/>
    </xf>
    <xf numFmtId="10" fontId="1" fillId="6" borderId="0" xfId="0" applyNumberFormat="1" applyFont="1" applyFill="1" applyAlignment="1">
      <alignment horizontal="center" vertical="center"/>
    </xf>
    <xf numFmtId="0" fontId="1" fillId="6" borderId="19" xfId="0" applyFont="1" applyFill="1" applyBorder="1" applyAlignment="1">
      <alignment horizontal="left" vertical="center"/>
    </xf>
    <xf numFmtId="0" fontId="1" fillId="6" borderId="20" xfId="0" applyFont="1" applyFill="1" applyBorder="1" applyAlignment="1">
      <alignment horizontal="left" vertical="center"/>
    </xf>
    <xf numFmtId="0" fontId="1" fillId="6" borderId="21" xfId="0" applyFont="1" applyFill="1" applyBorder="1" applyAlignment="1">
      <alignment horizontal="left" vertical="center"/>
    </xf>
    <xf numFmtId="0" fontId="1" fillId="6" borderId="24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left" vertical="center"/>
    </xf>
    <xf numFmtId="0" fontId="1" fillId="6" borderId="25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26" xfId="0" applyFont="1" applyFill="1" applyBorder="1" applyAlignment="1">
      <alignment horizontal="left" vertical="center"/>
    </xf>
    <xf numFmtId="0" fontId="1" fillId="6" borderId="18" xfId="0" applyFont="1" applyFill="1" applyBorder="1" applyAlignment="1">
      <alignment horizontal="left" vertical="center"/>
    </xf>
    <xf numFmtId="0" fontId="1" fillId="6" borderId="27" xfId="0" applyFont="1" applyFill="1" applyBorder="1" applyAlignment="1">
      <alignment horizontal="left" vertical="center"/>
    </xf>
    <xf numFmtId="0" fontId="1" fillId="6" borderId="16" xfId="0" applyFont="1" applyFill="1" applyBorder="1" applyAlignment="1">
      <alignment horizontal="center" vertical="center"/>
    </xf>
    <xf numFmtId="164" fontId="1" fillId="6" borderId="18" xfId="0" applyNumberFormat="1" applyFont="1" applyFill="1" applyBorder="1" applyAlignment="1">
      <alignment horizontal="center" vertical="center"/>
    </xf>
    <xf numFmtId="0" fontId="1" fillId="6" borderId="26" xfId="0" applyFont="1" applyFill="1" applyBorder="1" applyAlignment="1">
      <alignment horizontal="center" vertical="center"/>
    </xf>
    <xf numFmtId="2" fontId="1" fillId="6" borderId="0" xfId="0" applyNumberFormat="1" applyFont="1" applyFill="1" applyAlignment="1">
      <alignment horizontal="left" vertical="center"/>
    </xf>
    <xf numFmtId="0" fontId="1" fillId="6" borderId="0" xfId="0" applyFont="1" applyFill="1" applyAlignment="1">
      <alignment horizontal="right"/>
    </xf>
    <xf numFmtId="0" fontId="4" fillId="6" borderId="0" xfId="0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left" vertical="center"/>
    </xf>
    <xf numFmtId="2" fontId="1" fillId="6" borderId="0" xfId="0" applyNumberFormat="1" applyFont="1" applyFill="1" applyAlignment="1">
      <alignment horizontal="right" vertical="center"/>
    </xf>
    <xf numFmtId="0" fontId="9" fillId="6" borderId="0" xfId="0" applyFont="1" applyFill="1" applyAlignment="1">
      <alignment horizontal="center" vertical="center"/>
    </xf>
    <xf numFmtId="164" fontId="1" fillId="6" borderId="18" xfId="0" quotePrefix="1" applyNumberFormat="1" applyFont="1" applyFill="1" applyBorder="1" applyAlignment="1">
      <alignment horizontal="left" vertical="center"/>
    </xf>
    <xf numFmtId="0" fontId="1" fillId="6" borderId="0" xfId="0" quotePrefix="1" applyFont="1" applyFill="1" applyAlignment="1">
      <alignment horizontal="right" vertical="center"/>
    </xf>
    <xf numFmtId="0" fontId="0" fillId="6" borderId="0" xfId="0" quotePrefix="1" applyFill="1"/>
    <xf numFmtId="16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165" fontId="1" fillId="6" borderId="0" xfId="0" applyNumberFormat="1" applyFont="1" applyFill="1" applyAlignment="1">
      <alignment horizontal="center" vertical="center"/>
    </xf>
    <xf numFmtId="1" fontId="1" fillId="6" borderId="0" xfId="0" applyNumberFormat="1" applyFont="1" applyFill="1" applyAlignment="1">
      <alignment horizontal="left" vertical="center"/>
    </xf>
    <xf numFmtId="0" fontId="12" fillId="6" borderId="0" xfId="0" applyFont="1" applyFill="1" applyAlignment="1">
      <alignment horizontal="center" vertical="center"/>
    </xf>
    <xf numFmtId="9" fontId="1" fillId="6" borderId="0" xfId="0" applyNumberFormat="1" applyFont="1" applyFill="1" applyAlignment="1">
      <alignment horizontal="left" vertical="center"/>
    </xf>
    <xf numFmtId="165" fontId="1" fillId="6" borderId="0" xfId="0" applyNumberFormat="1" applyFont="1" applyFill="1" applyAlignment="1">
      <alignment horizontal="left" vertical="center"/>
    </xf>
    <xf numFmtId="12" fontId="1" fillId="6" borderId="0" xfId="0" applyNumberFormat="1" applyFont="1" applyFill="1" applyAlignment="1">
      <alignment horizontal="left" vertical="center"/>
    </xf>
    <xf numFmtId="0" fontId="13" fillId="6" borderId="0" xfId="0" applyFont="1" applyFill="1" applyBorder="1" applyAlignment="1">
      <alignment horizontal="left" vertical="center"/>
    </xf>
    <xf numFmtId="1" fontId="13" fillId="6" borderId="0" xfId="0" applyNumberFormat="1" applyFont="1" applyFill="1" applyBorder="1" applyAlignment="1">
      <alignment horizontal="center" vertical="center"/>
    </xf>
    <xf numFmtId="1" fontId="13" fillId="6" borderId="0" xfId="0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0" xfId="0" quotePrefix="1" applyFont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10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left"/>
    </xf>
    <xf numFmtId="0" fontId="1" fillId="0" borderId="19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2" fillId="0" borderId="18" xfId="0" applyFont="1" applyBorder="1" applyAlignment="1">
      <alignment horizontal="left" vertical="center"/>
    </xf>
    <xf numFmtId="0" fontId="12" fillId="0" borderId="16" xfId="0" applyFont="1" applyBorder="1" applyAlignment="1">
      <alignment horizontal="center"/>
    </xf>
    <xf numFmtId="0" fontId="1" fillId="0" borderId="27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166" fontId="1" fillId="0" borderId="16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166" fontId="1" fillId="0" borderId="0" xfId="0" applyNumberFormat="1" applyFont="1" applyAlignment="1">
      <alignment horizontal="center" vertical="center"/>
    </xf>
    <xf numFmtId="0" fontId="1" fillId="9" borderId="26" xfId="0" applyFont="1" applyFill="1" applyBorder="1" applyAlignment="1">
      <alignment horizontal="right" vertical="center"/>
    </xf>
    <xf numFmtId="0" fontId="1" fillId="9" borderId="27" xfId="0" applyFont="1" applyFill="1" applyBorder="1" applyAlignment="1">
      <alignment horizontal="left" vertical="center"/>
    </xf>
    <xf numFmtId="166" fontId="1" fillId="9" borderId="16" xfId="0" applyNumberFormat="1" applyFont="1" applyFill="1" applyBorder="1" applyAlignment="1">
      <alignment horizontal="center" vertical="center"/>
    </xf>
    <xf numFmtId="164" fontId="1" fillId="9" borderId="16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left" vertical="center"/>
    </xf>
    <xf numFmtId="0" fontId="1" fillId="7" borderId="26" xfId="0" applyFont="1" applyFill="1" applyBorder="1" applyAlignment="1">
      <alignment horizontal="right" vertical="center"/>
    </xf>
    <xf numFmtId="0" fontId="1" fillId="7" borderId="27" xfId="0" applyFont="1" applyFill="1" applyBorder="1" applyAlignment="1">
      <alignment horizontal="left" vertical="center"/>
    </xf>
    <xf numFmtId="166" fontId="1" fillId="7" borderId="16" xfId="0" applyNumberFormat="1" applyFont="1" applyFill="1" applyBorder="1" applyAlignment="1">
      <alignment horizontal="center" vertical="center"/>
    </xf>
    <xf numFmtId="164" fontId="1" fillId="7" borderId="16" xfId="0" applyNumberFormat="1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right" vertical="center"/>
    </xf>
    <xf numFmtId="0" fontId="1" fillId="7" borderId="23" xfId="0" applyFont="1" applyFill="1" applyBorder="1" applyAlignment="1">
      <alignment horizontal="left" vertical="center"/>
    </xf>
    <xf numFmtId="167" fontId="1" fillId="7" borderId="16" xfId="0" applyNumberFormat="1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left" vertical="center"/>
    </xf>
    <xf numFmtId="168" fontId="1" fillId="7" borderId="0" xfId="0" applyNumberFormat="1" applyFont="1" applyFill="1" applyAlignment="1">
      <alignment vertical="center"/>
    </xf>
    <xf numFmtId="168" fontId="1" fillId="7" borderId="16" xfId="0" applyNumberFormat="1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right" vertical="center"/>
    </xf>
    <xf numFmtId="166" fontId="1" fillId="9" borderId="0" xfId="0" applyNumberFormat="1" applyFont="1" applyFill="1" applyAlignment="1">
      <alignment horizontal="center" vertical="center"/>
    </xf>
    <xf numFmtId="166" fontId="1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4" fontId="1" fillId="0" borderId="18" xfId="0" applyNumberFormat="1" applyFont="1" applyBorder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169" fontId="1" fillId="0" borderId="0" xfId="1" applyNumberFormat="1" applyFont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2" fillId="10" borderId="0" xfId="0" applyFont="1" applyFill="1" applyAlignment="1">
      <alignment horizontal="left" vertical="center"/>
    </xf>
    <xf numFmtId="0" fontId="12" fillId="10" borderId="0" xfId="0" applyFont="1" applyFill="1" applyAlignment="1">
      <alignment horizontal="right" vertical="center"/>
    </xf>
    <xf numFmtId="164" fontId="1" fillId="10" borderId="0" xfId="0" applyNumberFormat="1" applyFont="1" applyFill="1" applyAlignment="1">
      <alignment horizontal="left" vertical="center"/>
    </xf>
    <xf numFmtId="164" fontId="1" fillId="10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right" vertical="center"/>
    </xf>
    <xf numFmtId="1" fontId="1" fillId="10" borderId="0" xfId="0" applyNumberFormat="1" applyFont="1" applyFill="1" applyAlignment="1">
      <alignment horizontal="left" vertical="center"/>
    </xf>
    <xf numFmtId="169" fontId="1" fillId="10" borderId="0" xfId="1" applyNumberFormat="1" applyFont="1" applyFill="1" applyAlignment="1">
      <alignment horizontal="left" vertical="center"/>
    </xf>
    <xf numFmtId="12" fontId="1" fillId="0" borderId="0" xfId="0" applyNumberFormat="1" applyFont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2" fillId="11" borderId="0" xfId="0" applyFont="1" applyFill="1" applyAlignment="1">
      <alignment horizontal="center" vertical="center"/>
    </xf>
    <xf numFmtId="10" fontId="22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164" fontId="22" fillId="0" borderId="0" xfId="0" applyNumberFormat="1" applyFont="1" applyAlignment="1">
      <alignment vertical="center"/>
    </xf>
    <xf numFmtId="164" fontId="22" fillId="0" borderId="12" xfId="0" applyNumberFormat="1" applyFont="1" applyBorder="1" applyAlignment="1">
      <alignment vertical="center"/>
    </xf>
    <xf numFmtId="1" fontId="22" fillId="0" borderId="0" xfId="0" applyNumberFormat="1" applyFont="1" applyAlignment="1">
      <alignment vertical="center"/>
    </xf>
    <xf numFmtId="164" fontId="22" fillId="0" borderId="0" xfId="0" applyNumberFormat="1" applyFont="1" applyAlignment="1">
      <alignment horizontal="center" vertical="center"/>
    </xf>
    <xf numFmtId="0" fontId="22" fillId="12" borderId="0" xfId="0" applyFont="1" applyFill="1" applyAlignment="1">
      <alignment vertical="center"/>
    </xf>
    <xf numFmtId="0" fontId="25" fillId="12" borderId="0" xfId="0" applyFont="1" applyFill="1" applyAlignment="1">
      <alignment vertical="center"/>
    </xf>
    <xf numFmtId="0" fontId="26" fillId="12" borderId="0" xfId="0" applyFont="1" applyFill="1" applyAlignment="1">
      <alignment horizontal="right" vertical="center"/>
    </xf>
    <xf numFmtId="0" fontId="22" fillId="12" borderId="0" xfId="0" applyFont="1" applyFill="1" applyAlignment="1">
      <alignment horizontal="right" vertical="center"/>
    </xf>
    <xf numFmtId="10" fontId="22" fillId="12" borderId="0" xfId="0" applyNumberFormat="1" applyFont="1" applyFill="1" applyAlignment="1">
      <alignment vertical="center"/>
    </xf>
    <xf numFmtId="164" fontId="22" fillId="12" borderId="0" xfId="0" applyNumberFormat="1" applyFont="1" applyFill="1" applyAlignment="1">
      <alignment vertical="center"/>
    </xf>
    <xf numFmtId="164" fontId="22" fillId="12" borderId="0" xfId="0" applyNumberFormat="1" applyFont="1" applyFill="1" applyAlignment="1">
      <alignment horizontal="center" vertical="center"/>
    </xf>
    <xf numFmtId="0" fontId="22" fillId="11" borderId="27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164" fontId="25" fillId="12" borderId="0" xfId="0" applyNumberFormat="1" applyFont="1" applyFill="1" applyAlignment="1">
      <alignment vertical="center"/>
    </xf>
    <xf numFmtId="1" fontId="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" fillId="6" borderId="26" xfId="0" applyFont="1" applyFill="1" applyBorder="1" applyAlignment="1">
      <alignment horizontal="right" vertical="center"/>
    </xf>
    <xf numFmtId="166" fontId="1" fillId="6" borderId="16" xfId="0" applyNumberFormat="1" applyFont="1" applyFill="1" applyBorder="1" applyAlignment="1">
      <alignment horizontal="center" vertical="center"/>
    </xf>
    <xf numFmtId="164" fontId="1" fillId="6" borderId="16" xfId="0" applyNumberFormat="1" applyFont="1" applyFill="1" applyBorder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" fontId="22" fillId="12" borderId="0" xfId="0" applyNumberFormat="1" applyFont="1" applyFill="1" applyAlignment="1">
      <alignment horizontal="center" vertical="center"/>
    </xf>
    <xf numFmtId="0" fontId="22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" fillId="0" borderId="0" xfId="0" quotePrefix="1" applyFont="1" applyAlignment="1">
      <alignment horizontal="right" vertical="center"/>
    </xf>
    <xf numFmtId="164" fontId="2" fillId="10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0" fontId="2" fillId="0" borderId="0" xfId="0" quotePrefix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28" fillId="0" borderId="0" xfId="0" applyFont="1" applyAlignment="1">
      <alignment horizontal="left" vertical="center"/>
    </xf>
    <xf numFmtId="0" fontId="2" fillId="0" borderId="0" xfId="0" quotePrefix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0" fontId="1" fillId="0" borderId="19" xfId="0" applyFont="1" applyBorder="1" applyAlignment="1">
      <alignment horizontal="right" vertical="center"/>
    </xf>
    <xf numFmtId="0" fontId="22" fillId="11" borderId="15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24" xfId="0" applyFont="1" applyBorder="1" applyAlignment="1">
      <alignment horizontal="left" vertical="center"/>
    </xf>
    <xf numFmtId="0" fontId="12" fillId="0" borderId="24" xfId="0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2" fillId="0" borderId="26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24" xfId="0" applyFont="1" applyBorder="1" applyAlignment="1">
      <alignment horizontal="center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21" xfId="0" applyFont="1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64" fontId="1" fillId="0" borderId="16" xfId="0" applyNumberFormat="1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64" fontId="1" fillId="0" borderId="24" xfId="0" applyNumberFormat="1" applyFont="1" applyBorder="1" applyAlignment="1">
      <alignment horizontal="left" vertical="center"/>
    </xf>
    <xf numFmtId="164" fontId="1" fillId="0" borderId="25" xfId="0" applyNumberFormat="1" applyFont="1" applyBorder="1" applyAlignment="1">
      <alignment horizontal="left" vertical="center"/>
    </xf>
    <xf numFmtId="164" fontId="1" fillId="0" borderId="25" xfId="0" applyNumberFormat="1" applyFont="1" applyBorder="1" applyAlignment="1">
      <alignment horizontal="center" vertical="center"/>
    </xf>
    <xf numFmtId="0" fontId="1" fillId="7" borderId="26" xfId="0" applyFont="1" applyFill="1" applyBorder="1" applyAlignment="1">
      <alignment horizontal="left" vertical="center"/>
    </xf>
    <xf numFmtId="0" fontId="12" fillId="7" borderId="26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left" vertical="center"/>
    </xf>
    <xf numFmtId="0" fontId="1" fillId="7" borderId="26" xfId="0" applyFont="1" applyFill="1" applyBorder="1" applyAlignment="1">
      <alignment horizontal="center" vertical="center"/>
    </xf>
    <xf numFmtId="164" fontId="1" fillId="7" borderId="16" xfId="0" applyNumberFormat="1" applyFont="1" applyFill="1" applyBorder="1" applyAlignment="1">
      <alignment horizontal="left" vertical="center"/>
    </xf>
    <xf numFmtId="0" fontId="1" fillId="7" borderId="19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right" vertical="center"/>
    </xf>
    <xf numFmtId="0" fontId="1" fillId="7" borderId="24" xfId="0" applyFont="1" applyFill="1" applyBorder="1" applyAlignment="1">
      <alignment horizontal="left" vertical="center"/>
    </xf>
    <xf numFmtId="0" fontId="1" fillId="7" borderId="24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left" vertical="center"/>
    </xf>
    <xf numFmtId="0" fontId="1" fillId="7" borderId="15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left" vertical="center"/>
    </xf>
    <xf numFmtId="0" fontId="1" fillId="7" borderId="22" xfId="0" applyFont="1" applyFill="1" applyBorder="1" applyAlignment="1">
      <alignment horizontal="center" vertical="center"/>
    </xf>
    <xf numFmtId="164" fontId="1" fillId="7" borderId="25" xfId="0" applyNumberFormat="1" applyFont="1" applyFill="1" applyBorder="1" applyAlignment="1">
      <alignment horizontal="left" vertical="center"/>
    </xf>
    <xf numFmtId="164" fontId="1" fillId="7" borderId="25" xfId="0" applyNumberFormat="1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left" vertical="center"/>
    </xf>
    <xf numFmtId="0" fontId="1" fillId="13" borderId="27" xfId="0" applyFont="1" applyFill="1" applyBorder="1" applyAlignment="1">
      <alignment horizontal="left" vertical="center"/>
    </xf>
    <xf numFmtId="0" fontId="12" fillId="13" borderId="26" xfId="0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left" vertical="center"/>
    </xf>
    <xf numFmtId="0" fontId="1" fillId="13" borderId="26" xfId="0" applyFont="1" applyFill="1" applyBorder="1" applyAlignment="1">
      <alignment horizontal="center" vertical="center"/>
    </xf>
    <xf numFmtId="164" fontId="1" fillId="13" borderId="16" xfId="0" applyNumberFormat="1" applyFont="1" applyFill="1" applyBorder="1" applyAlignment="1">
      <alignment horizontal="left" vertical="center"/>
    </xf>
    <xf numFmtId="164" fontId="1" fillId="13" borderId="16" xfId="0" applyNumberFormat="1" applyFont="1" applyFill="1" applyBorder="1" applyAlignment="1">
      <alignment horizontal="center" vertical="center"/>
    </xf>
    <xf numFmtId="0" fontId="1" fillId="13" borderId="19" xfId="0" applyFont="1" applyFill="1" applyBorder="1" applyAlignment="1">
      <alignment horizontal="left" vertical="center"/>
    </xf>
    <xf numFmtId="0" fontId="1" fillId="13" borderId="21" xfId="0" applyFont="1" applyFill="1" applyBorder="1" applyAlignment="1">
      <alignment horizontal="left" vertical="center"/>
    </xf>
    <xf numFmtId="0" fontId="1" fillId="13" borderId="0" xfId="0" applyFont="1" applyFill="1" applyAlignment="1">
      <alignment horizontal="right" vertical="center"/>
    </xf>
    <xf numFmtId="0" fontId="1" fillId="13" borderId="20" xfId="0" applyFont="1" applyFill="1" applyBorder="1" applyAlignment="1">
      <alignment horizontal="left" vertical="center"/>
    </xf>
    <xf numFmtId="0" fontId="1" fillId="13" borderId="24" xfId="0" applyFont="1" applyFill="1" applyBorder="1" applyAlignment="1">
      <alignment horizontal="left" vertical="center"/>
    </xf>
    <xf numFmtId="0" fontId="1" fillId="13" borderId="24" xfId="0" applyFont="1" applyFill="1" applyBorder="1" applyAlignment="1">
      <alignment horizontal="center" vertical="center"/>
    </xf>
    <xf numFmtId="0" fontId="1" fillId="13" borderId="22" xfId="0" applyFont="1" applyFill="1" applyBorder="1" applyAlignment="1">
      <alignment horizontal="left" vertical="center"/>
    </xf>
    <xf numFmtId="0" fontId="1" fillId="13" borderId="23" xfId="0" applyFont="1" applyFill="1" applyBorder="1" applyAlignment="1">
      <alignment horizontal="left" vertical="center"/>
    </xf>
    <xf numFmtId="0" fontId="1" fillId="13" borderId="15" xfId="0" applyFont="1" applyFill="1" applyBorder="1" applyAlignment="1">
      <alignment horizontal="center" vertical="center"/>
    </xf>
    <xf numFmtId="0" fontId="1" fillId="13" borderId="15" xfId="0" applyFont="1" applyFill="1" applyBorder="1" applyAlignment="1">
      <alignment horizontal="left" vertical="center"/>
    </xf>
    <xf numFmtId="0" fontId="1" fillId="13" borderId="22" xfId="0" applyFont="1" applyFill="1" applyBorder="1" applyAlignment="1">
      <alignment horizontal="center" vertical="center"/>
    </xf>
    <xf numFmtId="164" fontId="1" fillId="13" borderId="25" xfId="0" applyNumberFormat="1" applyFont="1" applyFill="1" applyBorder="1" applyAlignment="1">
      <alignment horizontal="left" vertical="center"/>
    </xf>
    <xf numFmtId="164" fontId="1" fillId="13" borderId="25" xfId="0" applyNumberFormat="1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left" vertical="center"/>
    </xf>
    <xf numFmtId="0" fontId="1" fillId="7" borderId="0" xfId="0" applyFont="1" applyFill="1" applyBorder="1" applyAlignment="1">
      <alignment horizontal="center" vertical="center"/>
    </xf>
    <xf numFmtId="164" fontId="1" fillId="7" borderId="0" xfId="0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32" fillId="0" borderId="15" xfId="0" quotePrefix="1" applyFont="1" applyBorder="1" applyAlignment="1">
      <alignment horizontal="center" vertical="center"/>
    </xf>
    <xf numFmtId="0" fontId="27" fillId="0" borderId="0" xfId="0" quotePrefix="1" applyFont="1" applyAlignment="1">
      <alignment horizont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2" xfId="0" applyFont="1" applyBorder="1" applyAlignment="1">
      <alignment horizontal="righ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0" xfId="0" applyFont="1" applyBorder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1" fillId="4" borderId="4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right" vertical="center"/>
    </xf>
    <xf numFmtId="0" fontId="1" fillId="4" borderId="8" xfId="0" quotePrefix="1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right" vertical="center"/>
    </xf>
    <xf numFmtId="0" fontId="1" fillId="4" borderId="0" xfId="0" quotePrefix="1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left" vertical="center"/>
    </xf>
    <xf numFmtId="0" fontId="12" fillId="4" borderId="9" xfId="0" applyFont="1" applyFill="1" applyBorder="1" applyAlignment="1">
      <alignment horizontal="right" vertical="center"/>
    </xf>
    <xf numFmtId="0" fontId="1" fillId="4" borderId="9" xfId="0" quotePrefix="1" applyFont="1" applyFill="1" applyBorder="1" applyAlignment="1">
      <alignment horizontal="left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right" vertical="center"/>
    </xf>
    <xf numFmtId="0" fontId="9" fillId="0" borderId="27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164" fontId="1" fillId="0" borderId="16" xfId="0" applyNumberFormat="1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64" fontId="11" fillId="0" borderId="16" xfId="0" applyNumberFormat="1" applyFont="1" applyBorder="1" applyAlignment="1">
      <alignment horizontal="center" vertical="center"/>
    </xf>
    <xf numFmtId="0" fontId="13" fillId="5" borderId="28" xfId="0" applyFont="1" applyFill="1" applyBorder="1" applyAlignment="1">
      <alignment horizontal="left" vertical="center"/>
    </xf>
    <xf numFmtId="0" fontId="13" fillId="5" borderId="0" xfId="0" applyFont="1" applyFill="1" applyBorder="1" applyAlignment="1">
      <alignment horizontal="left" vertical="center"/>
    </xf>
    <xf numFmtId="0" fontId="13" fillId="5" borderId="29" xfId="0" applyFont="1" applyFill="1" applyBorder="1" applyAlignment="1">
      <alignment horizontal="left" vertical="center"/>
    </xf>
    <xf numFmtId="0" fontId="36" fillId="8" borderId="8" xfId="0" applyFont="1" applyFill="1" applyBorder="1" applyAlignment="1">
      <alignment horizontal="left" vertical="center"/>
    </xf>
    <xf numFmtId="0" fontId="36" fillId="8" borderId="8" xfId="0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center" vertical="center"/>
    </xf>
    <xf numFmtId="0" fontId="37" fillId="8" borderId="8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8" fillId="4" borderId="0" xfId="0" applyFont="1" applyFill="1" applyBorder="1" applyAlignment="1">
      <alignment horizontal="left" vertical="center"/>
    </xf>
    <xf numFmtId="0" fontId="1" fillId="0" borderId="15" xfId="0" quotePrefix="1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2" fontId="39" fillId="0" borderId="0" xfId="0" applyNumberFormat="1" applyFont="1" applyAlignment="1">
      <alignment horizontal="left" vertical="center"/>
    </xf>
    <xf numFmtId="2" fontId="38" fillId="0" borderId="0" xfId="0" applyNumberFormat="1" applyFont="1" applyAlignment="1">
      <alignment horizontal="left" vertical="center"/>
    </xf>
    <xf numFmtId="1" fontId="36" fillId="0" borderId="0" xfId="0" applyNumberFormat="1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2" fontId="38" fillId="0" borderId="0" xfId="0" applyNumberFormat="1" applyFont="1" applyAlignment="1">
      <alignment horizontal="center"/>
    </xf>
    <xf numFmtId="0" fontId="1" fillId="6" borderId="0" xfId="0" applyFont="1" applyFill="1" applyBorder="1" applyAlignment="1">
      <alignment horizontal="center" vertical="center" wrapText="1"/>
    </xf>
    <xf numFmtId="2" fontId="1" fillId="6" borderId="0" xfId="0" applyNumberFormat="1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14" borderId="16" xfId="0" applyFont="1" applyFill="1" applyBorder="1" applyAlignment="1">
      <alignment horizontal="center" vertical="center" wrapText="1"/>
    </xf>
    <xf numFmtId="2" fontId="1" fillId="14" borderId="16" xfId="0" applyNumberFormat="1" applyFont="1" applyFill="1" applyBorder="1" applyAlignment="1">
      <alignment horizontal="center" vertical="center" wrapText="1"/>
    </xf>
    <xf numFmtId="0" fontId="42" fillId="6" borderId="0" xfId="0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left" vertical="center"/>
    </xf>
    <xf numFmtId="1" fontId="1" fillId="14" borderId="16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" fontId="1" fillId="0" borderId="12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11" fillId="0" borderId="16" xfId="0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12" fontId="1" fillId="0" borderId="0" xfId="0" applyNumberFormat="1" applyFont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164" fontId="1" fillId="4" borderId="0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right" vertical="center"/>
    </xf>
    <xf numFmtId="0" fontId="9" fillId="4" borderId="8" xfId="0" applyFont="1" applyFill="1" applyBorder="1" applyAlignment="1">
      <alignment horizontal="left" vertical="center"/>
    </xf>
    <xf numFmtId="164" fontId="1" fillId="4" borderId="8" xfId="0" applyNumberFormat="1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right" vertical="center"/>
    </xf>
    <xf numFmtId="164" fontId="1" fillId="4" borderId="13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  <color rgb="FFFF0000"/>
      <color rgb="FFFF00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4" Type="http://schemas.openxmlformats.org/officeDocument/2006/relationships/image" Target="../media/image5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wmf"/><Relationship Id="rId13" Type="http://schemas.openxmlformats.org/officeDocument/2006/relationships/image" Target="../media/image15.emf"/><Relationship Id="rId18" Type="http://schemas.openxmlformats.org/officeDocument/2006/relationships/image" Target="../media/image20.wmf"/><Relationship Id="rId26" Type="http://schemas.openxmlformats.org/officeDocument/2006/relationships/image" Target="../media/image28.emf"/><Relationship Id="rId3" Type="http://schemas.openxmlformats.org/officeDocument/2006/relationships/image" Target="../media/image5.wmf"/><Relationship Id="rId21" Type="http://schemas.openxmlformats.org/officeDocument/2006/relationships/image" Target="../media/image23.wmf"/><Relationship Id="rId7" Type="http://schemas.openxmlformats.org/officeDocument/2006/relationships/image" Target="../media/image9.w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2" Type="http://schemas.openxmlformats.org/officeDocument/2006/relationships/image" Target="../media/image4.wmf"/><Relationship Id="rId16" Type="http://schemas.openxmlformats.org/officeDocument/2006/relationships/image" Target="../media/image18.wmf"/><Relationship Id="rId20" Type="http://schemas.openxmlformats.org/officeDocument/2006/relationships/image" Target="../media/image22.emf"/><Relationship Id="rId1" Type="http://schemas.openxmlformats.org/officeDocument/2006/relationships/image" Target="../media/image3.wmf"/><Relationship Id="rId6" Type="http://schemas.openxmlformats.org/officeDocument/2006/relationships/image" Target="../media/image8.emf"/><Relationship Id="rId11" Type="http://schemas.openxmlformats.org/officeDocument/2006/relationships/image" Target="../media/image13.wmf"/><Relationship Id="rId24" Type="http://schemas.openxmlformats.org/officeDocument/2006/relationships/image" Target="../media/image26.wmf"/><Relationship Id="rId5" Type="http://schemas.openxmlformats.org/officeDocument/2006/relationships/image" Target="../media/image7.emf"/><Relationship Id="rId15" Type="http://schemas.openxmlformats.org/officeDocument/2006/relationships/image" Target="../media/image17.wmf"/><Relationship Id="rId23" Type="http://schemas.openxmlformats.org/officeDocument/2006/relationships/image" Target="../media/image25.wmf"/><Relationship Id="rId10" Type="http://schemas.openxmlformats.org/officeDocument/2006/relationships/image" Target="../media/image12.emf"/><Relationship Id="rId19" Type="http://schemas.openxmlformats.org/officeDocument/2006/relationships/image" Target="../media/image21.wmf"/><Relationship Id="rId4" Type="http://schemas.openxmlformats.org/officeDocument/2006/relationships/image" Target="../media/image6.emf"/><Relationship Id="rId9" Type="http://schemas.openxmlformats.org/officeDocument/2006/relationships/image" Target="../media/image11.wmf"/><Relationship Id="rId14" Type="http://schemas.openxmlformats.org/officeDocument/2006/relationships/image" Target="../media/image16.wmf"/><Relationship Id="rId22" Type="http://schemas.openxmlformats.org/officeDocument/2006/relationships/image" Target="../media/image24.wmf"/><Relationship Id="rId27" Type="http://schemas.openxmlformats.org/officeDocument/2006/relationships/image" Target="../media/image29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.wmf"/><Relationship Id="rId13" Type="http://schemas.openxmlformats.org/officeDocument/2006/relationships/image" Target="../media/image39.wmf"/><Relationship Id="rId18" Type="http://schemas.openxmlformats.org/officeDocument/2006/relationships/image" Target="../media/image44.emf"/><Relationship Id="rId26" Type="http://schemas.openxmlformats.org/officeDocument/2006/relationships/image" Target="../media/image52.emf"/><Relationship Id="rId3" Type="http://schemas.openxmlformats.org/officeDocument/2006/relationships/image" Target="../media/image32.emf"/><Relationship Id="rId21" Type="http://schemas.openxmlformats.org/officeDocument/2006/relationships/image" Target="../media/image47.wmf"/><Relationship Id="rId7" Type="http://schemas.openxmlformats.org/officeDocument/2006/relationships/image" Target="../media/image36.wmf"/><Relationship Id="rId12" Type="http://schemas.openxmlformats.org/officeDocument/2006/relationships/image" Target="../media/image38.emf"/><Relationship Id="rId17" Type="http://schemas.openxmlformats.org/officeDocument/2006/relationships/image" Target="../media/image43.emf"/><Relationship Id="rId25" Type="http://schemas.openxmlformats.org/officeDocument/2006/relationships/image" Target="../media/image51.emf"/><Relationship Id="rId2" Type="http://schemas.openxmlformats.org/officeDocument/2006/relationships/image" Target="../media/image31.emf"/><Relationship Id="rId16" Type="http://schemas.openxmlformats.org/officeDocument/2006/relationships/image" Target="../media/image42.emf"/><Relationship Id="rId20" Type="http://schemas.openxmlformats.org/officeDocument/2006/relationships/image" Target="../media/image46.wmf"/><Relationship Id="rId1" Type="http://schemas.openxmlformats.org/officeDocument/2006/relationships/image" Target="../media/image30.emf"/><Relationship Id="rId6" Type="http://schemas.openxmlformats.org/officeDocument/2006/relationships/image" Target="../media/image35.wmf"/><Relationship Id="rId11" Type="http://schemas.openxmlformats.org/officeDocument/2006/relationships/image" Target="../media/image16.wmf"/><Relationship Id="rId24" Type="http://schemas.openxmlformats.org/officeDocument/2006/relationships/image" Target="../media/image50.wmf"/><Relationship Id="rId5" Type="http://schemas.openxmlformats.org/officeDocument/2006/relationships/image" Target="../media/image34.wmf"/><Relationship Id="rId15" Type="http://schemas.openxmlformats.org/officeDocument/2006/relationships/image" Target="../media/image41.wmf"/><Relationship Id="rId23" Type="http://schemas.openxmlformats.org/officeDocument/2006/relationships/image" Target="../media/image49.wmf"/><Relationship Id="rId28" Type="http://schemas.openxmlformats.org/officeDocument/2006/relationships/image" Target="../media/image54.emf"/><Relationship Id="rId10" Type="http://schemas.openxmlformats.org/officeDocument/2006/relationships/image" Target="../media/image15.emf"/><Relationship Id="rId19" Type="http://schemas.openxmlformats.org/officeDocument/2006/relationships/image" Target="../media/image45.wmf"/><Relationship Id="rId4" Type="http://schemas.openxmlformats.org/officeDocument/2006/relationships/image" Target="../media/image33.emf"/><Relationship Id="rId9" Type="http://schemas.openxmlformats.org/officeDocument/2006/relationships/image" Target="../media/image37.emf"/><Relationship Id="rId14" Type="http://schemas.openxmlformats.org/officeDocument/2006/relationships/image" Target="../media/image40.wmf"/><Relationship Id="rId22" Type="http://schemas.openxmlformats.org/officeDocument/2006/relationships/image" Target="../media/image48.emf"/><Relationship Id="rId27" Type="http://schemas.openxmlformats.org/officeDocument/2006/relationships/image" Target="../media/image5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wmf"/><Relationship Id="rId2" Type="http://schemas.openxmlformats.org/officeDocument/2006/relationships/image" Target="../media/image60.wmf"/><Relationship Id="rId1" Type="http://schemas.openxmlformats.org/officeDocument/2006/relationships/image" Target="../media/image5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19050</xdr:rowOff>
        </xdr:from>
        <xdr:to>
          <xdr:col>10</xdr:col>
          <xdr:colOff>523875</xdr:colOff>
          <xdr:row>48</xdr:row>
          <xdr:rowOff>76200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</xdr:row>
          <xdr:rowOff>0</xdr:rowOff>
        </xdr:from>
        <xdr:to>
          <xdr:col>13</xdr:col>
          <xdr:colOff>371475</xdr:colOff>
          <xdr:row>24</xdr:row>
          <xdr:rowOff>47625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4</xdr:col>
          <xdr:colOff>590550</xdr:colOff>
          <xdr:row>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9</xdr:row>
          <xdr:rowOff>9525</xdr:rowOff>
        </xdr:from>
        <xdr:to>
          <xdr:col>4</xdr:col>
          <xdr:colOff>590550</xdr:colOff>
          <xdr:row>12</xdr:row>
          <xdr:rowOff>9525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14</xdr:row>
          <xdr:rowOff>0</xdr:rowOff>
        </xdr:from>
        <xdr:to>
          <xdr:col>4</xdr:col>
          <xdr:colOff>581025</xdr:colOff>
          <xdr:row>17</xdr:row>
          <xdr:rowOff>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18</xdr:row>
          <xdr:rowOff>9525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323850</xdr:colOff>
          <xdr:row>23</xdr:row>
          <xdr:rowOff>190500</xdr:rowOff>
        </xdr:from>
        <xdr:to>
          <xdr:col>7</xdr:col>
          <xdr:colOff>400050</xdr:colOff>
          <xdr:row>26</xdr:row>
          <xdr:rowOff>190500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190500</xdr:rowOff>
        </xdr:from>
        <xdr:to>
          <xdr:col>9</xdr:col>
          <xdr:colOff>295275</xdr:colOff>
          <xdr:row>75</xdr:row>
          <xdr:rowOff>190500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78</xdr:row>
          <xdr:rowOff>9525</xdr:rowOff>
        </xdr:from>
        <xdr:to>
          <xdr:col>5</xdr:col>
          <xdr:colOff>581025</xdr:colOff>
          <xdr:row>81</xdr:row>
          <xdr:rowOff>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83</xdr:row>
          <xdr:rowOff>9525</xdr:rowOff>
        </xdr:from>
        <xdr:to>
          <xdr:col>5</xdr:col>
          <xdr:colOff>590550</xdr:colOff>
          <xdr:row>85</xdr:row>
          <xdr:rowOff>190500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89</xdr:row>
          <xdr:rowOff>0</xdr:rowOff>
        </xdr:from>
        <xdr:to>
          <xdr:col>3</xdr:col>
          <xdr:colOff>371475</xdr:colOff>
          <xdr:row>89</xdr:row>
          <xdr:rowOff>238125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89</xdr:row>
          <xdr:rowOff>238125</xdr:rowOff>
        </xdr:from>
        <xdr:to>
          <xdr:col>6</xdr:col>
          <xdr:colOff>552450</xdr:colOff>
          <xdr:row>91</xdr:row>
          <xdr:rowOff>47625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12</xdr:col>
      <xdr:colOff>69817</xdr:colOff>
      <xdr:row>79</xdr:row>
      <xdr:rowOff>160813</xdr:rowOff>
    </xdr:from>
    <xdr:ext cx="1216057" cy="264560"/>
    <xdr:sp macro="" textlink="">
      <xdr:nvSpPr>
        <xdr:cNvPr id="3" name="TextBox 2"/>
        <xdr:cNvSpPr txBox="1"/>
      </xdr:nvSpPr>
      <xdr:spPr>
        <a:xfrm>
          <a:off x="6146767" y="16467613"/>
          <a:ext cx="121605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96</xdr:row>
          <xdr:rowOff>9525</xdr:rowOff>
        </xdr:from>
        <xdr:to>
          <xdr:col>4</xdr:col>
          <xdr:colOff>581025</xdr:colOff>
          <xdr:row>99</xdr:row>
          <xdr:rowOff>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714375</xdr:colOff>
          <xdr:row>96</xdr:row>
          <xdr:rowOff>190500</xdr:rowOff>
        </xdr:from>
        <xdr:to>
          <xdr:col>12</xdr:col>
          <xdr:colOff>476250</xdr:colOff>
          <xdr:row>98</xdr:row>
          <xdr:rowOff>38100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99</xdr:row>
          <xdr:rowOff>152400</xdr:rowOff>
        </xdr:from>
        <xdr:to>
          <xdr:col>7</xdr:col>
          <xdr:colOff>38100</xdr:colOff>
          <xdr:row>102</xdr:row>
          <xdr:rowOff>9525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219075</xdr:colOff>
          <xdr:row>103</xdr:row>
          <xdr:rowOff>38100</xdr:rowOff>
        </xdr:from>
        <xdr:to>
          <xdr:col>4</xdr:col>
          <xdr:colOff>590550</xdr:colOff>
          <xdr:row>105</xdr:row>
          <xdr:rowOff>190500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</xdr:colOff>
          <xdr:row>107</xdr:row>
          <xdr:rowOff>28575</xdr:rowOff>
        </xdr:from>
        <xdr:to>
          <xdr:col>5</xdr:col>
          <xdr:colOff>533400</xdr:colOff>
          <xdr:row>109</xdr:row>
          <xdr:rowOff>190500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114</xdr:row>
          <xdr:rowOff>0</xdr:rowOff>
        </xdr:from>
        <xdr:to>
          <xdr:col>5</xdr:col>
          <xdr:colOff>457200</xdr:colOff>
          <xdr:row>117</xdr:row>
          <xdr:rowOff>9525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121</xdr:row>
          <xdr:rowOff>9525</xdr:rowOff>
        </xdr:from>
        <xdr:to>
          <xdr:col>4</xdr:col>
          <xdr:colOff>581025</xdr:colOff>
          <xdr:row>124</xdr:row>
          <xdr:rowOff>0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714375</xdr:colOff>
          <xdr:row>121</xdr:row>
          <xdr:rowOff>190500</xdr:rowOff>
        </xdr:from>
        <xdr:to>
          <xdr:col>12</xdr:col>
          <xdr:colOff>476250</xdr:colOff>
          <xdr:row>123</xdr:row>
          <xdr:rowOff>38100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124</xdr:row>
          <xdr:rowOff>152400</xdr:rowOff>
        </xdr:from>
        <xdr:to>
          <xdr:col>7</xdr:col>
          <xdr:colOff>38100</xdr:colOff>
          <xdr:row>127</xdr:row>
          <xdr:rowOff>9525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219075</xdr:colOff>
          <xdr:row>128</xdr:row>
          <xdr:rowOff>38100</xdr:rowOff>
        </xdr:from>
        <xdr:to>
          <xdr:col>4</xdr:col>
          <xdr:colOff>590550</xdr:colOff>
          <xdr:row>130</xdr:row>
          <xdr:rowOff>190500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</xdr:colOff>
          <xdr:row>132</xdr:row>
          <xdr:rowOff>28575</xdr:rowOff>
        </xdr:from>
        <xdr:to>
          <xdr:col>5</xdr:col>
          <xdr:colOff>533400</xdr:colOff>
          <xdr:row>134</xdr:row>
          <xdr:rowOff>190500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139</xdr:row>
          <xdr:rowOff>0</xdr:rowOff>
        </xdr:from>
        <xdr:to>
          <xdr:col>5</xdr:col>
          <xdr:colOff>457200</xdr:colOff>
          <xdr:row>142</xdr:row>
          <xdr:rowOff>9525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333375</xdr:colOff>
          <xdr:row>191</xdr:row>
          <xdr:rowOff>0</xdr:rowOff>
        </xdr:from>
        <xdr:to>
          <xdr:col>7</xdr:col>
          <xdr:colOff>742950</xdr:colOff>
          <xdr:row>192</xdr:row>
          <xdr:rowOff>123825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192</xdr:row>
          <xdr:rowOff>142875</xdr:rowOff>
        </xdr:from>
        <xdr:to>
          <xdr:col>8</xdr:col>
          <xdr:colOff>0</xdr:colOff>
          <xdr:row>194</xdr:row>
          <xdr:rowOff>133350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190500</xdr:colOff>
          <xdr:row>196</xdr:row>
          <xdr:rowOff>104775</xdr:rowOff>
        </xdr:from>
        <xdr:to>
          <xdr:col>7</xdr:col>
          <xdr:colOff>714375</xdr:colOff>
          <xdr:row>198</xdr:row>
          <xdr:rowOff>95250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198</xdr:row>
          <xdr:rowOff>123825</xdr:rowOff>
        </xdr:from>
        <xdr:to>
          <xdr:col>7</xdr:col>
          <xdr:colOff>714375</xdr:colOff>
          <xdr:row>200</xdr:row>
          <xdr:rowOff>114300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204</xdr:row>
          <xdr:rowOff>0</xdr:rowOff>
        </xdr:from>
        <xdr:to>
          <xdr:col>3</xdr:col>
          <xdr:colOff>381000</xdr:colOff>
          <xdr:row>205</xdr:row>
          <xdr:rowOff>38100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210</xdr:row>
          <xdr:rowOff>95250</xdr:rowOff>
        </xdr:from>
        <xdr:to>
          <xdr:col>7</xdr:col>
          <xdr:colOff>742950</xdr:colOff>
          <xdr:row>212</xdr:row>
          <xdr:rowOff>85725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212</xdr:row>
          <xdr:rowOff>114300</xdr:rowOff>
        </xdr:from>
        <xdr:to>
          <xdr:col>8</xdr:col>
          <xdr:colOff>161925</xdr:colOff>
          <xdr:row>214</xdr:row>
          <xdr:rowOff>104775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219</xdr:row>
          <xdr:rowOff>190500</xdr:rowOff>
        </xdr:from>
        <xdr:to>
          <xdr:col>14</xdr:col>
          <xdr:colOff>314325</xdr:colOff>
          <xdr:row>246</xdr:row>
          <xdr:rowOff>76200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154</xdr:row>
          <xdr:rowOff>114300</xdr:rowOff>
        </xdr:from>
        <xdr:to>
          <xdr:col>10</xdr:col>
          <xdr:colOff>600075</xdr:colOff>
          <xdr:row>180</xdr:row>
          <xdr:rowOff>76200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246</xdr:row>
          <xdr:rowOff>114300</xdr:rowOff>
        </xdr:from>
        <xdr:to>
          <xdr:col>14</xdr:col>
          <xdr:colOff>314325</xdr:colOff>
          <xdr:row>270</xdr:row>
          <xdr:rowOff>133350</xdr:rowOff>
        </xdr:to>
        <xdr:sp macro="" textlink="">
          <xdr:nvSpPr>
            <xdr:cNvPr id="3131" name="Object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209550</xdr:colOff>
          <xdr:row>7</xdr:row>
          <xdr:rowOff>76200</xdr:rowOff>
        </xdr:from>
        <xdr:to>
          <xdr:col>7</xdr:col>
          <xdr:colOff>257175</xdr:colOff>
          <xdr:row>9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457200</xdr:colOff>
          <xdr:row>41</xdr:row>
          <xdr:rowOff>238125</xdr:rowOff>
        </xdr:from>
        <xdr:to>
          <xdr:col>8</xdr:col>
          <xdr:colOff>0</xdr:colOff>
          <xdr:row>43</xdr:row>
          <xdr:rowOff>47625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447675</xdr:colOff>
          <xdr:row>43</xdr:row>
          <xdr:rowOff>209550</xdr:rowOff>
        </xdr:from>
        <xdr:to>
          <xdr:col>8</xdr:col>
          <xdr:colOff>9525</xdr:colOff>
          <xdr:row>45</xdr:row>
          <xdr:rowOff>28575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400050</xdr:colOff>
          <xdr:row>45</xdr:row>
          <xdr:rowOff>209550</xdr:rowOff>
        </xdr:from>
        <xdr:to>
          <xdr:col>9</xdr:col>
          <xdr:colOff>600075</xdr:colOff>
          <xdr:row>47</xdr:row>
          <xdr:rowOff>19050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447675</xdr:colOff>
          <xdr:row>79</xdr:row>
          <xdr:rowOff>190500</xdr:rowOff>
        </xdr:from>
        <xdr:to>
          <xdr:col>5</xdr:col>
          <xdr:colOff>590550</xdr:colOff>
          <xdr:row>81</xdr:row>
          <xdr:rowOff>28575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390525</xdr:colOff>
          <xdr:row>81</xdr:row>
          <xdr:rowOff>161925</xdr:rowOff>
        </xdr:from>
        <xdr:to>
          <xdr:col>5</xdr:col>
          <xdr:colOff>571500</xdr:colOff>
          <xdr:row>83</xdr:row>
          <xdr:rowOff>19050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84</xdr:row>
          <xdr:rowOff>0</xdr:rowOff>
        </xdr:from>
        <xdr:to>
          <xdr:col>5</xdr:col>
          <xdr:colOff>590550</xdr:colOff>
          <xdr:row>85</xdr:row>
          <xdr:rowOff>57150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238125</xdr:colOff>
          <xdr:row>92</xdr:row>
          <xdr:rowOff>190500</xdr:rowOff>
        </xdr:from>
        <xdr:to>
          <xdr:col>4</xdr:col>
          <xdr:colOff>600075</xdr:colOff>
          <xdr:row>95</xdr:row>
          <xdr:rowOff>180975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600075</xdr:colOff>
          <xdr:row>93</xdr:row>
          <xdr:rowOff>142875</xdr:rowOff>
        </xdr:from>
        <xdr:to>
          <xdr:col>13</xdr:col>
          <xdr:colOff>276225</xdr:colOff>
          <xdr:row>95</xdr:row>
          <xdr:rowOff>57150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97</xdr:row>
          <xdr:rowOff>142875</xdr:rowOff>
        </xdr:from>
        <xdr:to>
          <xdr:col>7</xdr:col>
          <xdr:colOff>38100</xdr:colOff>
          <xdr:row>100</xdr:row>
          <xdr:rowOff>0</xdr:rowOff>
        </xdr:to>
        <xdr:sp macro="" textlink="">
          <xdr:nvSpPr>
            <xdr:cNvPr id="5135" name="Object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100</xdr:row>
          <xdr:rowOff>19050</xdr:rowOff>
        </xdr:from>
        <xdr:to>
          <xdr:col>4</xdr:col>
          <xdr:colOff>571500</xdr:colOff>
          <xdr:row>103</xdr:row>
          <xdr:rowOff>9525</xdr:rowOff>
        </xdr:to>
        <xdr:sp macro="" textlink="">
          <xdr:nvSpPr>
            <xdr:cNvPr id="5137" name="Object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104</xdr:row>
          <xdr:rowOff>9525</xdr:rowOff>
        </xdr:from>
        <xdr:to>
          <xdr:col>5</xdr:col>
          <xdr:colOff>581025</xdr:colOff>
          <xdr:row>106</xdr:row>
          <xdr:rowOff>171450</xdr:rowOff>
        </xdr:to>
        <xdr:sp macro="" textlink="">
          <xdr:nvSpPr>
            <xdr:cNvPr id="5138" name="Object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104775</xdr:colOff>
      <xdr:row>127</xdr:row>
      <xdr:rowOff>0</xdr:rowOff>
    </xdr:from>
    <xdr:to>
      <xdr:col>5</xdr:col>
      <xdr:colOff>647700</xdr:colOff>
      <xdr:row>129</xdr:row>
      <xdr:rowOff>19050</xdr:rowOff>
    </xdr:to>
    <xdr:pic>
      <xdr:nvPicPr>
        <xdr:cNvPr id="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5212675"/>
          <a:ext cx="12192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447675</xdr:colOff>
      <xdr:row>130</xdr:row>
      <xdr:rowOff>152400</xdr:rowOff>
    </xdr:from>
    <xdr:to>
      <xdr:col>8</xdr:col>
      <xdr:colOff>47625</xdr:colOff>
      <xdr:row>132</xdr:row>
      <xdr:rowOff>190500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26136600"/>
          <a:ext cx="25717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161925</xdr:colOff>
      <xdr:row>133</xdr:row>
      <xdr:rowOff>19050</xdr:rowOff>
    </xdr:from>
    <xdr:to>
      <xdr:col>5</xdr:col>
      <xdr:colOff>504825</xdr:colOff>
      <xdr:row>136</xdr:row>
      <xdr:rowOff>9525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6622375"/>
          <a:ext cx="10191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161925</xdr:colOff>
      <xdr:row>137</xdr:row>
      <xdr:rowOff>9525</xdr:rowOff>
    </xdr:from>
    <xdr:to>
      <xdr:col>6</xdr:col>
      <xdr:colOff>523875</xdr:colOff>
      <xdr:row>140</xdr:row>
      <xdr:rowOff>0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7441525"/>
          <a:ext cx="17049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165</xdr:row>
          <xdr:rowOff>142875</xdr:rowOff>
        </xdr:from>
        <xdr:to>
          <xdr:col>5</xdr:col>
          <xdr:colOff>133350</xdr:colOff>
          <xdr:row>167</xdr:row>
          <xdr:rowOff>95250</xdr:rowOff>
        </xdr:to>
        <xdr:sp macro="" textlink="">
          <xdr:nvSpPr>
            <xdr:cNvPr id="5156" name="Object 36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171450</xdr:rowOff>
        </xdr:from>
        <xdr:to>
          <xdr:col>8</xdr:col>
          <xdr:colOff>238125</xdr:colOff>
          <xdr:row>176</xdr:row>
          <xdr:rowOff>28575</xdr:rowOff>
        </xdr:to>
        <xdr:sp macro="" textlink="">
          <xdr:nvSpPr>
            <xdr:cNvPr id="5157" name="Object 37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179</xdr:row>
          <xdr:rowOff>0</xdr:rowOff>
        </xdr:from>
        <xdr:to>
          <xdr:col>6</xdr:col>
          <xdr:colOff>504825</xdr:colOff>
          <xdr:row>181</xdr:row>
          <xdr:rowOff>190500</xdr:rowOff>
        </xdr:to>
        <xdr:sp macro="" textlink="">
          <xdr:nvSpPr>
            <xdr:cNvPr id="5158" name="Object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187</xdr:row>
          <xdr:rowOff>0</xdr:rowOff>
        </xdr:from>
        <xdr:to>
          <xdr:col>5</xdr:col>
          <xdr:colOff>885825</xdr:colOff>
          <xdr:row>190</xdr:row>
          <xdr:rowOff>9525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876300</xdr:colOff>
          <xdr:row>193</xdr:row>
          <xdr:rowOff>228600</xdr:rowOff>
        </xdr:from>
        <xdr:to>
          <xdr:col>9</xdr:col>
          <xdr:colOff>628650</xdr:colOff>
          <xdr:row>196</xdr:row>
          <xdr:rowOff>180975</xdr:rowOff>
        </xdr:to>
        <xdr:sp macro="" textlink="">
          <xdr:nvSpPr>
            <xdr:cNvPr id="5161" name="Object 41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666750</xdr:colOff>
          <xdr:row>197</xdr:row>
          <xdr:rowOff>0</xdr:rowOff>
        </xdr:from>
        <xdr:to>
          <xdr:col>8</xdr:col>
          <xdr:colOff>638175</xdr:colOff>
          <xdr:row>200</xdr:row>
          <xdr:rowOff>104775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238125</xdr:colOff>
          <xdr:row>205</xdr:row>
          <xdr:rowOff>190500</xdr:rowOff>
        </xdr:from>
        <xdr:to>
          <xdr:col>4</xdr:col>
          <xdr:colOff>676275</xdr:colOff>
          <xdr:row>208</xdr:row>
          <xdr:rowOff>152400</xdr:rowOff>
        </xdr:to>
        <xdr:sp macro="" textlink="">
          <xdr:nvSpPr>
            <xdr:cNvPr id="5163" name="Object 43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333375</xdr:colOff>
          <xdr:row>211</xdr:row>
          <xdr:rowOff>0</xdr:rowOff>
        </xdr:from>
        <xdr:to>
          <xdr:col>4</xdr:col>
          <xdr:colOff>685800</xdr:colOff>
          <xdr:row>214</xdr:row>
          <xdr:rowOff>9525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220</xdr:row>
          <xdr:rowOff>0</xdr:rowOff>
        </xdr:from>
        <xdr:to>
          <xdr:col>4</xdr:col>
          <xdr:colOff>685800</xdr:colOff>
          <xdr:row>223</xdr:row>
          <xdr:rowOff>9525</xdr:rowOff>
        </xdr:to>
        <xdr:sp macro="" textlink="">
          <xdr:nvSpPr>
            <xdr:cNvPr id="5166" name="Object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231</xdr:row>
          <xdr:rowOff>104775</xdr:rowOff>
        </xdr:from>
        <xdr:to>
          <xdr:col>7</xdr:col>
          <xdr:colOff>914400</xdr:colOff>
          <xdr:row>234</xdr:row>
          <xdr:rowOff>95250</xdr:rowOff>
        </xdr:to>
        <xdr:sp macro="" textlink="">
          <xdr:nvSpPr>
            <xdr:cNvPr id="5167" name="Object 47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243</xdr:row>
          <xdr:rowOff>114300</xdr:rowOff>
        </xdr:from>
        <xdr:to>
          <xdr:col>7</xdr:col>
          <xdr:colOff>923925</xdr:colOff>
          <xdr:row>246</xdr:row>
          <xdr:rowOff>104775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276225</xdr:colOff>
          <xdr:row>298</xdr:row>
          <xdr:rowOff>28575</xdr:rowOff>
        </xdr:from>
        <xdr:to>
          <xdr:col>4</xdr:col>
          <xdr:colOff>742950</xdr:colOff>
          <xdr:row>301</xdr:row>
          <xdr:rowOff>28575</xdr:rowOff>
        </xdr:to>
        <xdr:sp macro="" textlink="">
          <xdr:nvSpPr>
            <xdr:cNvPr id="5169" name="Object 49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323850</xdr:colOff>
          <xdr:row>306</xdr:row>
          <xdr:rowOff>0</xdr:rowOff>
        </xdr:from>
        <xdr:to>
          <xdr:col>4</xdr:col>
          <xdr:colOff>733425</xdr:colOff>
          <xdr:row>308</xdr:row>
          <xdr:rowOff>180975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311</xdr:row>
          <xdr:rowOff>9525</xdr:rowOff>
        </xdr:from>
        <xdr:to>
          <xdr:col>6</xdr:col>
          <xdr:colOff>19050</xdr:colOff>
          <xdr:row>313</xdr:row>
          <xdr:rowOff>190500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318</xdr:row>
          <xdr:rowOff>19050</xdr:rowOff>
        </xdr:from>
        <xdr:to>
          <xdr:col>4</xdr:col>
          <xdr:colOff>762000</xdr:colOff>
          <xdr:row>321</xdr:row>
          <xdr:rowOff>19050</xdr:rowOff>
        </xdr:to>
        <xdr:sp macro="" textlink="">
          <xdr:nvSpPr>
            <xdr:cNvPr id="5172" name="Object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323850</xdr:colOff>
          <xdr:row>326</xdr:row>
          <xdr:rowOff>0</xdr:rowOff>
        </xdr:from>
        <xdr:to>
          <xdr:col>4</xdr:col>
          <xdr:colOff>733425</xdr:colOff>
          <xdr:row>328</xdr:row>
          <xdr:rowOff>180975</xdr:rowOff>
        </xdr:to>
        <xdr:sp macro="" textlink="">
          <xdr:nvSpPr>
            <xdr:cNvPr id="5173" name="Object 53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331</xdr:row>
          <xdr:rowOff>9525</xdr:rowOff>
        </xdr:from>
        <xdr:to>
          <xdr:col>5</xdr:col>
          <xdr:colOff>866775</xdr:colOff>
          <xdr:row>333</xdr:row>
          <xdr:rowOff>190500</xdr:rowOff>
        </xdr:to>
        <xdr:sp macro="" textlink="">
          <xdr:nvSpPr>
            <xdr:cNvPr id="5174" name="Object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276225</xdr:colOff>
          <xdr:row>126</xdr:row>
          <xdr:rowOff>142875</xdr:rowOff>
        </xdr:from>
        <xdr:to>
          <xdr:col>14</xdr:col>
          <xdr:colOff>171450</xdr:colOff>
          <xdr:row>128</xdr:row>
          <xdr:rowOff>57150</xdr:rowOff>
        </xdr:to>
        <xdr:sp macro="" textlink="">
          <xdr:nvSpPr>
            <xdr:cNvPr id="5176" name="Object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128</xdr:row>
          <xdr:rowOff>200025</xdr:rowOff>
        </xdr:from>
        <xdr:to>
          <xdr:col>6</xdr:col>
          <xdr:colOff>723900</xdr:colOff>
          <xdr:row>131</xdr:row>
          <xdr:rowOff>200025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134</xdr:row>
          <xdr:rowOff>0</xdr:rowOff>
        </xdr:from>
        <xdr:to>
          <xdr:col>4</xdr:col>
          <xdr:colOff>457200</xdr:colOff>
          <xdr:row>135</xdr:row>
          <xdr:rowOff>57150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142</xdr:row>
          <xdr:rowOff>0</xdr:rowOff>
        </xdr:from>
        <xdr:to>
          <xdr:col>4</xdr:col>
          <xdr:colOff>457200</xdr:colOff>
          <xdr:row>143</xdr:row>
          <xdr:rowOff>57150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emf"/><Relationship Id="rId18" Type="http://schemas.openxmlformats.org/officeDocument/2006/relationships/oleObject" Target="../embeddings/oleObject10.bin"/><Relationship Id="rId26" Type="http://schemas.openxmlformats.org/officeDocument/2006/relationships/oleObject" Target="../embeddings/oleObject14.bin"/><Relationship Id="rId39" Type="http://schemas.openxmlformats.org/officeDocument/2006/relationships/oleObject" Target="../embeddings/oleObject21.bin"/><Relationship Id="rId21" Type="http://schemas.openxmlformats.org/officeDocument/2006/relationships/image" Target="../media/image11.wmf"/><Relationship Id="rId34" Type="http://schemas.openxmlformats.org/officeDocument/2006/relationships/oleObject" Target="../embeddings/oleObject18.bin"/><Relationship Id="rId42" Type="http://schemas.openxmlformats.org/officeDocument/2006/relationships/oleObject" Target="../embeddings/oleObject24.bin"/><Relationship Id="rId47" Type="http://schemas.openxmlformats.org/officeDocument/2006/relationships/oleObject" Target="../embeddings/oleObject27.bin"/><Relationship Id="rId50" Type="http://schemas.openxmlformats.org/officeDocument/2006/relationships/image" Target="../media/image23.wmf"/><Relationship Id="rId55" Type="http://schemas.openxmlformats.org/officeDocument/2006/relationships/oleObject" Target="../embeddings/oleObject31.bin"/><Relationship Id="rId7" Type="http://schemas.openxmlformats.org/officeDocument/2006/relationships/image" Target="../media/image4.w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9.bin"/><Relationship Id="rId20" Type="http://schemas.openxmlformats.org/officeDocument/2006/relationships/oleObject" Target="../embeddings/oleObject11.bin"/><Relationship Id="rId29" Type="http://schemas.openxmlformats.org/officeDocument/2006/relationships/image" Target="../media/image15.emf"/><Relationship Id="rId41" Type="http://schemas.openxmlformats.org/officeDocument/2006/relationships/oleObject" Target="../embeddings/oleObject23.bin"/><Relationship Id="rId54" Type="http://schemas.openxmlformats.org/officeDocument/2006/relationships/image" Target="../media/image25.wmf"/><Relationship Id="rId62" Type="http://schemas.openxmlformats.org/officeDocument/2006/relationships/image" Target="../media/image29.emf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3.bin"/><Relationship Id="rId32" Type="http://schemas.openxmlformats.org/officeDocument/2006/relationships/oleObject" Target="../embeddings/oleObject17.bin"/><Relationship Id="rId37" Type="http://schemas.openxmlformats.org/officeDocument/2006/relationships/oleObject" Target="../embeddings/oleObject20.bin"/><Relationship Id="rId40" Type="http://schemas.openxmlformats.org/officeDocument/2006/relationships/oleObject" Target="../embeddings/oleObject22.bin"/><Relationship Id="rId45" Type="http://schemas.openxmlformats.org/officeDocument/2006/relationships/oleObject" Target="../embeddings/oleObject26.bin"/><Relationship Id="rId53" Type="http://schemas.openxmlformats.org/officeDocument/2006/relationships/oleObject" Target="../embeddings/oleObject30.bin"/><Relationship Id="rId58" Type="http://schemas.openxmlformats.org/officeDocument/2006/relationships/image" Target="../media/image27.emf"/><Relationship Id="rId5" Type="http://schemas.openxmlformats.org/officeDocument/2006/relationships/image" Target="../media/image3.w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5.bin"/><Relationship Id="rId36" Type="http://schemas.openxmlformats.org/officeDocument/2006/relationships/oleObject" Target="../embeddings/oleObject19.bin"/><Relationship Id="rId49" Type="http://schemas.openxmlformats.org/officeDocument/2006/relationships/oleObject" Target="../embeddings/oleObject28.bin"/><Relationship Id="rId57" Type="http://schemas.openxmlformats.org/officeDocument/2006/relationships/oleObject" Target="../embeddings/oleObject32.bin"/><Relationship Id="rId61" Type="http://schemas.openxmlformats.org/officeDocument/2006/relationships/oleObject" Target="../embeddings/oleObject34.bin"/><Relationship Id="rId10" Type="http://schemas.openxmlformats.org/officeDocument/2006/relationships/oleObject" Target="../embeddings/oleObject6.bin"/><Relationship Id="rId19" Type="http://schemas.openxmlformats.org/officeDocument/2006/relationships/image" Target="../media/image10.wmf"/><Relationship Id="rId31" Type="http://schemas.openxmlformats.org/officeDocument/2006/relationships/image" Target="../media/image16.wmf"/><Relationship Id="rId44" Type="http://schemas.openxmlformats.org/officeDocument/2006/relationships/image" Target="../media/image20.wmf"/><Relationship Id="rId52" Type="http://schemas.openxmlformats.org/officeDocument/2006/relationships/image" Target="../media/image24.wmf"/><Relationship Id="rId60" Type="http://schemas.openxmlformats.org/officeDocument/2006/relationships/image" Target="../media/image28.emf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wmf"/><Relationship Id="rId14" Type="http://schemas.openxmlformats.org/officeDocument/2006/relationships/oleObject" Target="../embeddings/oleObject8.bin"/><Relationship Id="rId22" Type="http://schemas.openxmlformats.org/officeDocument/2006/relationships/oleObject" Target="../embeddings/oleObject12.bin"/><Relationship Id="rId27" Type="http://schemas.openxmlformats.org/officeDocument/2006/relationships/image" Target="../media/image14.emf"/><Relationship Id="rId30" Type="http://schemas.openxmlformats.org/officeDocument/2006/relationships/oleObject" Target="../embeddings/oleObject16.bin"/><Relationship Id="rId35" Type="http://schemas.openxmlformats.org/officeDocument/2006/relationships/image" Target="../media/image18.wmf"/><Relationship Id="rId43" Type="http://schemas.openxmlformats.org/officeDocument/2006/relationships/oleObject" Target="../embeddings/oleObject25.bin"/><Relationship Id="rId48" Type="http://schemas.openxmlformats.org/officeDocument/2006/relationships/image" Target="../media/image22.emf"/><Relationship Id="rId56" Type="http://schemas.openxmlformats.org/officeDocument/2006/relationships/image" Target="../media/image26.wmf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29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7.bin"/><Relationship Id="rId17" Type="http://schemas.openxmlformats.org/officeDocument/2006/relationships/image" Target="../media/image9.wmf"/><Relationship Id="rId25" Type="http://schemas.openxmlformats.org/officeDocument/2006/relationships/image" Target="../media/image13.wmf"/><Relationship Id="rId33" Type="http://schemas.openxmlformats.org/officeDocument/2006/relationships/image" Target="../media/image17.wmf"/><Relationship Id="rId38" Type="http://schemas.openxmlformats.org/officeDocument/2006/relationships/image" Target="../media/image19.emf"/><Relationship Id="rId46" Type="http://schemas.openxmlformats.org/officeDocument/2006/relationships/image" Target="../media/image21.wmf"/><Relationship Id="rId59" Type="http://schemas.openxmlformats.org/officeDocument/2006/relationships/oleObject" Target="../embeddings/oleObject3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wmf"/><Relationship Id="rId18" Type="http://schemas.openxmlformats.org/officeDocument/2006/relationships/oleObject" Target="../embeddings/oleObject42.bin"/><Relationship Id="rId26" Type="http://schemas.openxmlformats.org/officeDocument/2006/relationships/oleObject" Target="../embeddings/oleObject46.bin"/><Relationship Id="rId39" Type="http://schemas.openxmlformats.org/officeDocument/2006/relationships/image" Target="../media/image44.emf"/><Relationship Id="rId21" Type="http://schemas.openxmlformats.org/officeDocument/2006/relationships/image" Target="../media/image37.emf"/><Relationship Id="rId34" Type="http://schemas.openxmlformats.org/officeDocument/2006/relationships/oleObject" Target="../embeddings/oleObject50.bin"/><Relationship Id="rId42" Type="http://schemas.openxmlformats.org/officeDocument/2006/relationships/oleObject" Target="../embeddings/oleObject54.bin"/><Relationship Id="rId47" Type="http://schemas.openxmlformats.org/officeDocument/2006/relationships/image" Target="../media/image48.emf"/><Relationship Id="rId50" Type="http://schemas.openxmlformats.org/officeDocument/2006/relationships/image" Target="../media/image49.wmf"/><Relationship Id="rId55" Type="http://schemas.openxmlformats.org/officeDocument/2006/relationships/oleObject" Target="../embeddings/oleObject61.bin"/><Relationship Id="rId7" Type="http://schemas.openxmlformats.org/officeDocument/2006/relationships/image" Target="../media/image31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41.bin"/><Relationship Id="rId20" Type="http://schemas.openxmlformats.org/officeDocument/2006/relationships/oleObject" Target="../embeddings/oleObject43.bin"/><Relationship Id="rId29" Type="http://schemas.openxmlformats.org/officeDocument/2006/relationships/image" Target="../media/image39.wmf"/><Relationship Id="rId41" Type="http://schemas.openxmlformats.org/officeDocument/2006/relationships/image" Target="../media/image45.wmf"/><Relationship Id="rId54" Type="http://schemas.openxmlformats.org/officeDocument/2006/relationships/image" Target="../media/image51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36.bin"/><Relationship Id="rId11" Type="http://schemas.openxmlformats.org/officeDocument/2006/relationships/image" Target="../media/image33.emf"/><Relationship Id="rId24" Type="http://schemas.openxmlformats.org/officeDocument/2006/relationships/oleObject" Target="../embeddings/oleObject45.bin"/><Relationship Id="rId32" Type="http://schemas.openxmlformats.org/officeDocument/2006/relationships/oleObject" Target="../embeddings/oleObject49.bin"/><Relationship Id="rId37" Type="http://schemas.openxmlformats.org/officeDocument/2006/relationships/image" Target="../media/image43.emf"/><Relationship Id="rId40" Type="http://schemas.openxmlformats.org/officeDocument/2006/relationships/oleObject" Target="../embeddings/oleObject53.bin"/><Relationship Id="rId45" Type="http://schemas.openxmlformats.org/officeDocument/2006/relationships/image" Target="../media/image47.wmf"/><Relationship Id="rId53" Type="http://schemas.openxmlformats.org/officeDocument/2006/relationships/oleObject" Target="../embeddings/oleObject60.bin"/><Relationship Id="rId58" Type="http://schemas.openxmlformats.org/officeDocument/2006/relationships/oleObject" Target="../embeddings/oleObject63.bin"/><Relationship Id="rId5" Type="http://schemas.openxmlformats.org/officeDocument/2006/relationships/image" Target="../media/image30.emf"/><Relationship Id="rId15" Type="http://schemas.openxmlformats.org/officeDocument/2006/relationships/image" Target="../media/image35.wmf"/><Relationship Id="rId23" Type="http://schemas.openxmlformats.org/officeDocument/2006/relationships/image" Target="../media/image15.emf"/><Relationship Id="rId28" Type="http://schemas.openxmlformats.org/officeDocument/2006/relationships/oleObject" Target="../embeddings/oleObject47.bin"/><Relationship Id="rId36" Type="http://schemas.openxmlformats.org/officeDocument/2006/relationships/oleObject" Target="../embeddings/oleObject51.bin"/><Relationship Id="rId49" Type="http://schemas.openxmlformats.org/officeDocument/2006/relationships/oleObject" Target="../embeddings/oleObject58.bin"/><Relationship Id="rId57" Type="http://schemas.openxmlformats.org/officeDocument/2006/relationships/oleObject" Target="../embeddings/oleObject62.bin"/><Relationship Id="rId61" Type="http://schemas.openxmlformats.org/officeDocument/2006/relationships/image" Target="../media/image54.emf"/><Relationship Id="rId10" Type="http://schemas.openxmlformats.org/officeDocument/2006/relationships/oleObject" Target="../embeddings/oleObject38.bin"/><Relationship Id="rId19" Type="http://schemas.openxmlformats.org/officeDocument/2006/relationships/image" Target="../media/image13.wmf"/><Relationship Id="rId31" Type="http://schemas.openxmlformats.org/officeDocument/2006/relationships/image" Target="../media/image40.wmf"/><Relationship Id="rId44" Type="http://schemas.openxmlformats.org/officeDocument/2006/relationships/oleObject" Target="../embeddings/oleObject55.bin"/><Relationship Id="rId52" Type="http://schemas.openxmlformats.org/officeDocument/2006/relationships/image" Target="../media/image50.wmf"/><Relationship Id="rId60" Type="http://schemas.openxmlformats.org/officeDocument/2006/relationships/oleObject" Target="../embeddings/oleObject64.bin"/><Relationship Id="rId4" Type="http://schemas.openxmlformats.org/officeDocument/2006/relationships/oleObject" Target="../embeddings/oleObject35.bin"/><Relationship Id="rId9" Type="http://schemas.openxmlformats.org/officeDocument/2006/relationships/image" Target="../media/image32.emf"/><Relationship Id="rId14" Type="http://schemas.openxmlformats.org/officeDocument/2006/relationships/oleObject" Target="../embeddings/oleObject40.bin"/><Relationship Id="rId22" Type="http://schemas.openxmlformats.org/officeDocument/2006/relationships/oleObject" Target="../embeddings/oleObject44.bin"/><Relationship Id="rId27" Type="http://schemas.openxmlformats.org/officeDocument/2006/relationships/image" Target="../media/image38.emf"/><Relationship Id="rId30" Type="http://schemas.openxmlformats.org/officeDocument/2006/relationships/oleObject" Target="../embeddings/oleObject48.bin"/><Relationship Id="rId35" Type="http://schemas.openxmlformats.org/officeDocument/2006/relationships/image" Target="../media/image42.emf"/><Relationship Id="rId43" Type="http://schemas.openxmlformats.org/officeDocument/2006/relationships/image" Target="../media/image46.wmf"/><Relationship Id="rId48" Type="http://schemas.openxmlformats.org/officeDocument/2006/relationships/oleObject" Target="../embeddings/oleObject57.bin"/><Relationship Id="rId56" Type="http://schemas.openxmlformats.org/officeDocument/2006/relationships/image" Target="../media/image52.emf"/><Relationship Id="rId8" Type="http://schemas.openxmlformats.org/officeDocument/2006/relationships/oleObject" Target="../embeddings/oleObject37.bin"/><Relationship Id="rId51" Type="http://schemas.openxmlformats.org/officeDocument/2006/relationships/oleObject" Target="../embeddings/oleObject59.bin"/><Relationship Id="rId3" Type="http://schemas.openxmlformats.org/officeDocument/2006/relationships/vmlDrawing" Target="../drawings/vmlDrawing3.vml"/><Relationship Id="rId12" Type="http://schemas.openxmlformats.org/officeDocument/2006/relationships/oleObject" Target="../embeddings/oleObject39.bin"/><Relationship Id="rId17" Type="http://schemas.openxmlformats.org/officeDocument/2006/relationships/image" Target="../media/image36.wmf"/><Relationship Id="rId25" Type="http://schemas.openxmlformats.org/officeDocument/2006/relationships/image" Target="../media/image16.wmf"/><Relationship Id="rId33" Type="http://schemas.openxmlformats.org/officeDocument/2006/relationships/image" Target="../media/image41.wmf"/><Relationship Id="rId38" Type="http://schemas.openxmlformats.org/officeDocument/2006/relationships/oleObject" Target="../embeddings/oleObject52.bin"/><Relationship Id="rId46" Type="http://schemas.openxmlformats.org/officeDocument/2006/relationships/oleObject" Target="../embeddings/oleObject56.bin"/><Relationship Id="rId59" Type="http://schemas.openxmlformats.org/officeDocument/2006/relationships/image" Target="../media/image53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7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60.w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59.wmf"/><Relationship Id="rId4" Type="http://schemas.openxmlformats.org/officeDocument/2006/relationships/oleObject" Target="../embeddings/oleObject65.bin"/><Relationship Id="rId9" Type="http://schemas.openxmlformats.org/officeDocument/2006/relationships/image" Target="../media/image61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1"/>
  <sheetViews>
    <sheetView workbookViewId="0">
      <pane ySplit="7" topLeftCell="A8" activePane="bottomLeft" state="frozen"/>
      <selection pane="bottomLeft" activeCell="Q20" sqref="Q20"/>
    </sheetView>
  </sheetViews>
  <sheetFormatPr defaultRowHeight="15" x14ac:dyDescent="0.25"/>
  <cols>
    <col min="1" max="1" width="9.140625" style="3"/>
    <col min="2" max="4" width="11.140625" style="3" customWidth="1"/>
    <col min="5" max="5" width="10.42578125" style="3" customWidth="1"/>
    <col min="6" max="16384" width="9.140625" style="3"/>
  </cols>
  <sheetData>
    <row r="1" spans="1:38" ht="23.25" x14ac:dyDescent="0.25">
      <c r="A1" s="27"/>
      <c r="B1" s="27"/>
      <c r="C1" s="27"/>
      <c r="D1" s="27"/>
      <c r="E1" s="27"/>
      <c r="F1" s="27"/>
      <c r="G1" s="27"/>
      <c r="H1" s="61" t="s">
        <v>36</v>
      </c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</row>
    <row r="2" spans="1:38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</row>
    <row r="3" spans="1:38" x14ac:dyDescent="0.25">
      <c r="A3" s="27"/>
      <c r="B3" s="27"/>
      <c r="C3" s="27"/>
      <c r="D3" s="27"/>
      <c r="E3" s="27"/>
      <c r="F3" s="27"/>
      <c r="G3" s="54" t="s">
        <v>37</v>
      </c>
      <c r="H3" s="55"/>
      <c r="I3" s="55"/>
      <c r="J3" s="55"/>
      <c r="K3" s="55"/>
      <c r="L3" s="55"/>
      <c r="M3" s="55"/>
      <c r="N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</row>
    <row r="4" spans="1:38" x14ac:dyDescent="0.25">
      <c r="A4" s="27"/>
      <c r="B4" s="27"/>
      <c r="C4" s="27"/>
      <c r="D4" s="27"/>
      <c r="E4" s="27"/>
      <c r="F4" s="27"/>
      <c r="G4" s="57" t="s">
        <v>38</v>
      </c>
      <c r="H4" s="8"/>
      <c r="I4" s="8"/>
      <c r="J4" s="8"/>
      <c r="K4" s="8"/>
      <c r="L4" s="8"/>
      <c r="M4" s="8"/>
      <c r="N4" s="58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1:38" x14ac:dyDescent="0.25">
      <c r="A5" s="27"/>
      <c r="B5" s="27"/>
      <c r="C5" s="27"/>
      <c r="D5" s="27"/>
      <c r="E5" s="27"/>
      <c r="F5" s="27"/>
      <c r="G5" s="362" t="s">
        <v>39</v>
      </c>
      <c r="H5" s="363"/>
      <c r="I5" s="363"/>
      <c r="J5" s="363"/>
      <c r="K5" s="363"/>
      <c r="L5" s="363"/>
      <c r="M5" s="363"/>
      <c r="N5" s="364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</row>
    <row r="6" spans="1:38" x14ac:dyDescent="0.25">
      <c r="A6" s="27"/>
      <c r="B6" s="27"/>
      <c r="C6" s="27"/>
      <c r="D6" s="27"/>
      <c r="E6" s="27"/>
      <c r="F6" s="27"/>
      <c r="G6" s="59" t="s">
        <v>40</v>
      </c>
      <c r="H6" s="31"/>
      <c r="I6" s="31"/>
      <c r="J6" s="31"/>
      <c r="K6" s="31"/>
      <c r="L6" s="31"/>
      <c r="M6" s="31"/>
      <c r="N6" s="6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</row>
    <row r="7" spans="1:38" x14ac:dyDescent="0.25">
      <c r="A7" s="27"/>
      <c r="B7" s="27"/>
      <c r="C7" s="27"/>
      <c r="D7" s="27"/>
      <c r="E7" s="27"/>
      <c r="F7" s="27"/>
      <c r="G7" s="33"/>
      <c r="H7" s="34"/>
      <c r="I7" s="34"/>
      <c r="J7" s="34"/>
      <c r="K7" s="34"/>
      <c r="L7" s="34"/>
      <c r="M7" s="34"/>
      <c r="N7" s="35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</row>
    <row r="8" spans="1:38" ht="18" x14ac:dyDescent="0.25">
      <c r="A8" s="27"/>
      <c r="B8" s="27"/>
      <c r="C8" s="27"/>
      <c r="D8" s="28" t="s">
        <v>12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</row>
    <row r="9" spans="1:38" ht="18" x14ac:dyDescent="0.25">
      <c r="A9" s="29" t="s">
        <v>15</v>
      </c>
      <c r="B9" s="30" t="s">
        <v>2</v>
      </c>
      <c r="C9" s="27"/>
      <c r="D9" s="28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</row>
    <row r="10" spans="1:38" ht="15.75" thickBot="1" x14ac:dyDescent="0.3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</row>
    <row r="11" spans="1:38" ht="30" x14ac:dyDescent="0.25">
      <c r="A11" s="27"/>
      <c r="B11" s="9" t="s">
        <v>4</v>
      </c>
      <c r="C11" s="9" t="s">
        <v>5</v>
      </c>
      <c r="D11" s="10" t="s">
        <v>3</v>
      </c>
      <c r="E11" s="11"/>
      <c r="F11" s="12"/>
      <c r="G11" s="13" t="s">
        <v>6</v>
      </c>
      <c r="H11" s="11"/>
      <c r="I11" s="10" t="s">
        <v>13</v>
      </c>
      <c r="J11" s="14"/>
      <c r="K11" s="3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8" ht="20.25" thickBot="1" x14ac:dyDescent="0.4">
      <c r="A12" s="27"/>
      <c r="B12" s="15"/>
      <c r="C12" s="15"/>
      <c r="D12" s="16" t="s">
        <v>7</v>
      </c>
      <c r="E12" s="17" t="s">
        <v>8</v>
      </c>
      <c r="F12" s="18" t="s">
        <v>9</v>
      </c>
      <c r="G12" s="19" t="s">
        <v>10</v>
      </c>
      <c r="H12" s="20"/>
      <c r="I12" s="21" t="s">
        <v>14</v>
      </c>
      <c r="J12" s="22"/>
      <c r="K12" s="3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8" ht="16.5" thickBot="1" x14ac:dyDescent="0.3">
      <c r="A13" s="27"/>
      <c r="B13" s="64">
        <v>2.6</v>
      </c>
      <c r="C13" s="65">
        <v>5.4</v>
      </c>
      <c r="D13" s="66">
        <v>300</v>
      </c>
      <c r="E13" s="67">
        <v>300</v>
      </c>
      <c r="F13" s="68"/>
      <c r="G13" s="69">
        <v>5.5</v>
      </c>
      <c r="H13" s="70"/>
      <c r="I13" s="6" t="s">
        <v>11</v>
      </c>
      <c r="J13" s="5">
        <v>15</v>
      </c>
      <c r="K13" s="27"/>
      <c r="L13" s="31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8" x14ac:dyDescent="0.25">
      <c r="A14" s="31"/>
      <c r="B14" s="365" t="str">
        <f>IF(B13="","{nhập vào}","")</f>
        <v/>
      </c>
      <c r="C14" s="365" t="str">
        <f>IF(C13="","{nhập vào}","")</f>
        <v/>
      </c>
      <c r="D14" s="367" t="str">
        <f>IF(D13="","{chọn}","")</f>
        <v/>
      </c>
      <c r="E14" s="367" t="str">
        <f>IF(E13="","{chọn}","")</f>
        <v/>
      </c>
      <c r="F14" s="23"/>
      <c r="G14" s="366" t="str">
        <f>IF(G13="","{nhập vào}","")</f>
        <v/>
      </c>
      <c r="H14" s="23"/>
      <c r="I14" s="23"/>
      <c r="J14" s="368" t="str">
        <f>IF(J13="","{chọn}","")</f>
        <v/>
      </c>
      <c r="K14" s="31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8" x14ac:dyDescent="0.25">
      <c r="A15" s="27"/>
      <c r="B15" s="31" t="s">
        <v>120</v>
      </c>
      <c r="C15" s="31"/>
      <c r="D15" s="31"/>
      <c r="E15" s="31"/>
      <c r="F15" s="25">
        <v>1.2</v>
      </c>
      <c r="G15" s="31"/>
      <c r="H15" s="31"/>
      <c r="I15" s="31"/>
      <c r="J15" s="31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8" x14ac:dyDescent="0.25">
      <c r="A16" s="27"/>
      <c r="B16" s="31" t="s">
        <v>53</v>
      </c>
      <c r="C16" s="31"/>
      <c r="D16" s="31"/>
      <c r="E16" s="26">
        <v>4</v>
      </c>
      <c r="F16" s="37" t="s">
        <v>55</v>
      </c>
      <c r="G16" s="31"/>
      <c r="H16" s="31"/>
      <c r="I16" s="31"/>
      <c r="J16" s="31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x14ac:dyDescent="0.25">
      <c r="A17" s="27"/>
      <c r="B17" s="31" t="s">
        <v>54</v>
      </c>
      <c r="C17" s="31"/>
      <c r="D17" s="31"/>
      <c r="E17" s="26">
        <v>4</v>
      </c>
      <c r="F17" s="37" t="s">
        <v>55</v>
      </c>
      <c r="G17" s="31"/>
      <c r="H17" s="31"/>
      <c r="I17" s="31"/>
      <c r="J17" s="31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x14ac:dyDescent="0.25">
      <c r="A18" s="27"/>
      <c r="B18" s="31"/>
      <c r="C18" s="31"/>
      <c r="D18" s="31"/>
      <c r="E18" s="31"/>
      <c r="F18" s="31"/>
      <c r="G18" s="31"/>
      <c r="H18" s="31"/>
      <c r="I18" s="31"/>
      <c r="J18" s="31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x14ac:dyDescent="0.25">
      <c r="A19" s="27"/>
      <c r="B19" s="31" t="s">
        <v>22</v>
      </c>
      <c r="C19" s="31"/>
      <c r="D19" s="26">
        <v>335</v>
      </c>
      <c r="E19" s="31" t="s">
        <v>8</v>
      </c>
      <c r="F19" s="31"/>
      <c r="G19" s="31"/>
      <c r="H19" s="31"/>
      <c r="I19" s="31"/>
      <c r="J19" s="31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x14ac:dyDescent="0.25">
      <c r="A20" s="27"/>
      <c r="B20" s="31"/>
      <c r="C20" s="31"/>
      <c r="D20" s="7"/>
      <c r="E20" s="31"/>
      <c r="F20" s="31"/>
      <c r="G20" s="31"/>
      <c r="H20" s="31"/>
      <c r="I20" s="31"/>
      <c r="J20" s="31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</row>
    <row r="21" spans="1:32" ht="30" x14ac:dyDescent="0.2">
      <c r="A21" s="27"/>
      <c r="B21" s="39" t="s">
        <v>24</v>
      </c>
      <c r="C21" s="40"/>
      <c r="D21" s="41"/>
      <c r="E21" s="48" t="s">
        <v>25</v>
      </c>
      <c r="F21" s="49" t="s">
        <v>31</v>
      </c>
      <c r="G21" s="50" t="s">
        <v>28</v>
      </c>
      <c r="H21" s="31"/>
      <c r="I21" s="31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  <row r="22" spans="1:32" ht="18" x14ac:dyDescent="0.25">
      <c r="A22" s="27"/>
      <c r="B22" s="42"/>
      <c r="C22" s="43"/>
      <c r="D22" s="44"/>
      <c r="E22" s="51" t="s">
        <v>26</v>
      </c>
      <c r="F22" s="52" t="s">
        <v>30</v>
      </c>
      <c r="G22" s="51" t="s">
        <v>29</v>
      </c>
      <c r="H22" s="31"/>
      <c r="I22" s="31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</row>
    <row r="23" spans="1:32" ht="20.100000000000001" customHeight="1" x14ac:dyDescent="0.25">
      <c r="A23" s="27"/>
      <c r="B23" s="45" t="s">
        <v>23</v>
      </c>
      <c r="C23" s="46"/>
      <c r="D23" s="47"/>
      <c r="E23" s="71">
        <v>9</v>
      </c>
      <c r="F23" s="80">
        <v>20</v>
      </c>
      <c r="G23" s="80">
        <v>1.1000000000000001</v>
      </c>
      <c r="H23" s="31"/>
      <c r="I23" s="31"/>
      <c r="J23" s="31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20.100000000000001" customHeight="1" x14ac:dyDescent="0.25">
      <c r="A24" s="27"/>
      <c r="B24" s="45" t="s">
        <v>32</v>
      </c>
      <c r="C24" s="46"/>
      <c r="D24" s="47"/>
      <c r="E24" s="71">
        <v>30</v>
      </c>
      <c r="F24" s="80">
        <v>18</v>
      </c>
      <c r="G24" s="80">
        <v>1.3</v>
      </c>
      <c r="H24" s="31"/>
      <c r="I24" s="31"/>
      <c r="J24" s="31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20.100000000000001" customHeight="1" x14ac:dyDescent="0.25">
      <c r="A25" s="27"/>
      <c r="B25" s="45" t="s">
        <v>33</v>
      </c>
      <c r="C25" s="46"/>
      <c r="D25" s="47"/>
      <c r="E25" s="2" t="s">
        <v>112</v>
      </c>
      <c r="F25" s="80">
        <v>25</v>
      </c>
      <c r="G25" s="80">
        <v>1.1000000000000001</v>
      </c>
      <c r="H25" s="31"/>
      <c r="I25" s="31"/>
      <c r="J25" s="31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20.100000000000001" customHeight="1" x14ac:dyDescent="0.25">
      <c r="A26" s="27"/>
      <c r="B26" s="45" t="s">
        <v>34</v>
      </c>
      <c r="C26" s="46"/>
      <c r="D26" s="47"/>
      <c r="E26" s="71">
        <v>15</v>
      </c>
      <c r="F26" s="80">
        <v>18</v>
      </c>
      <c r="G26" s="80">
        <v>1.3</v>
      </c>
      <c r="H26" s="31"/>
      <c r="I26" s="31"/>
      <c r="J26" s="31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</row>
    <row r="27" spans="1:32" x14ac:dyDescent="0.25">
      <c r="A27" s="27"/>
      <c r="B27" s="31"/>
      <c r="C27" s="31"/>
      <c r="D27" s="31"/>
      <c r="E27" s="31"/>
      <c r="F27" s="31"/>
      <c r="G27" s="31"/>
      <c r="H27" s="31"/>
      <c r="I27" s="31"/>
      <c r="J27" s="31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</row>
    <row r="28" spans="1:32" ht="17.25" customHeight="1" x14ac:dyDescent="0.25">
      <c r="A28" s="32" t="s">
        <v>16</v>
      </c>
      <c r="B28" s="30" t="s">
        <v>17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x14ac:dyDescent="0.2">
      <c r="A29" s="27"/>
      <c r="B29" s="38" t="s">
        <v>20</v>
      </c>
      <c r="C29" s="27"/>
      <c r="D29" s="27"/>
      <c r="E29" s="27"/>
      <c r="F29" s="27"/>
      <c r="G29" s="25" t="s">
        <v>558</v>
      </c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2" x14ac:dyDescent="0.25">
      <c r="A30" s="27"/>
      <c r="B30" s="38" t="s">
        <v>19</v>
      </c>
      <c r="C30" s="27"/>
      <c r="D30" s="27"/>
      <c r="E30" s="27"/>
      <c r="F30" s="27"/>
      <c r="G30" s="25" t="s">
        <v>559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2" x14ac:dyDescent="0.25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2" x14ac:dyDescent="0.25">
      <c r="A32" s="27" t="s">
        <v>554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x14ac:dyDescent="0.25">
      <c r="A44" s="27"/>
      <c r="D44" s="27"/>
      <c r="E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x14ac:dyDescent="0.25">
      <c r="A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x14ac:dyDescent="0.25">
      <c r="A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x14ac:dyDescent="0.25">
      <c r="A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x14ac:dyDescent="0.25">
      <c r="A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x14ac:dyDescent="0.25">
      <c r="A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x14ac:dyDescent="0.25"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x14ac:dyDescent="0.25"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</sheetData>
  <dataConsolidate/>
  <dataValidations count="6">
    <dataValidation type="list" allowBlank="1" showInputMessage="1" showErrorMessage="1" sqref="D13:E13">
      <formula1>"220,300,400,500,600,700"</formula1>
    </dataValidation>
    <dataValidation type="list" allowBlank="1" showInputMessage="1" showErrorMessage="1" sqref="J13">
      <formula1>"12.5,15,20,25,30,35,40,45,50,55,60"</formula1>
    </dataValidation>
    <dataValidation type="list" allowBlank="1" showInputMessage="1" showErrorMessage="1" sqref="G29:G30">
      <formula1>"A-I,A-II,A-III,A-IIIb,A-IV,A-V,A-VI,A-VII,CI,CII,CIII,CIV"</formula1>
    </dataValidation>
    <dataValidation type="list" allowBlank="1" showInputMessage="1" showErrorMessage="1" sqref="D19">
      <formula1>"220,335,340"</formula1>
    </dataValidation>
    <dataValidation type="list" allowBlank="1" showInputMessage="1" showErrorMessage="1" sqref="E16:E17">
      <formula1>"2,3,4,5"</formula1>
    </dataValidation>
    <dataValidation type="list" allowBlank="1" showInputMessage="1" showErrorMessage="1" sqref="F15">
      <formula1>"1,1,1,2,1,3"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V200"/>
  <sheetViews>
    <sheetView workbookViewId="0">
      <pane ySplit="2" topLeftCell="A3" activePane="bottomLeft" state="frozen"/>
      <selection pane="bottomLeft" activeCell="T19" sqref="T19"/>
    </sheetView>
  </sheetViews>
  <sheetFormatPr defaultRowHeight="18" x14ac:dyDescent="0.25"/>
  <cols>
    <col min="1" max="1" width="2.28515625" style="63" customWidth="1"/>
    <col min="2" max="2" width="2.42578125" style="62" customWidth="1"/>
    <col min="3" max="3" width="2.7109375" style="1" customWidth="1"/>
    <col min="4" max="5" width="9.140625" style="1"/>
    <col min="6" max="6" width="11.85546875" style="1" customWidth="1"/>
    <col min="7" max="7" width="9.5703125" style="1" customWidth="1"/>
    <col min="8" max="16384" width="9.140625" style="1"/>
  </cols>
  <sheetData>
    <row r="1" spans="1:45" x14ac:dyDescent="0.25">
      <c r="A1" s="53"/>
      <c r="B1" s="73"/>
      <c r="C1" s="72"/>
      <c r="D1" s="72"/>
      <c r="E1" s="74" t="s">
        <v>0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</row>
    <row r="2" spans="1:45" x14ac:dyDescent="0.25">
      <c r="A2" s="75" t="s">
        <v>1</v>
      </c>
      <c r="B2" s="73" t="s">
        <v>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</row>
    <row r="3" spans="1:45" x14ac:dyDescent="0.25">
      <c r="A3" s="75"/>
      <c r="B3" s="73" t="s">
        <v>41</v>
      </c>
      <c r="C3" s="72"/>
      <c r="D3" s="72"/>
      <c r="E3" s="72"/>
      <c r="F3" s="72" t="s">
        <v>42</v>
      </c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</row>
    <row r="4" spans="1:45" x14ac:dyDescent="0.25">
      <c r="A4" s="75"/>
      <c r="B4" s="73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</row>
    <row r="5" spans="1:45" x14ac:dyDescent="0.25">
      <c r="A5" s="75"/>
      <c r="B5" s="73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</row>
    <row r="6" spans="1:45" x14ac:dyDescent="0.25">
      <c r="A6" s="75"/>
      <c r="B6" s="73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</row>
    <row r="7" spans="1:45" x14ac:dyDescent="0.25">
      <c r="A7" s="75"/>
      <c r="B7" s="73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</row>
    <row r="8" spans="1:45" x14ac:dyDescent="0.25">
      <c r="A8" s="75"/>
      <c r="B8" s="73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</row>
    <row r="9" spans="1:45" x14ac:dyDescent="0.25">
      <c r="A9" s="75"/>
      <c r="B9" s="73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</row>
    <row r="10" spans="1:45" x14ac:dyDescent="0.25">
      <c r="A10" s="75"/>
      <c r="B10" s="73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</row>
    <row r="11" spans="1:45" x14ac:dyDescent="0.25">
      <c r="A11" s="75"/>
      <c r="B11" s="73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</row>
    <row r="12" spans="1:45" x14ac:dyDescent="0.25">
      <c r="A12" s="75"/>
      <c r="B12" s="73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</row>
    <row r="13" spans="1:45" x14ac:dyDescent="0.25">
      <c r="A13" s="75"/>
      <c r="B13" s="73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</row>
    <row r="14" spans="1:45" x14ac:dyDescent="0.25">
      <c r="A14" s="75"/>
      <c r="B14" s="73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</row>
    <row r="15" spans="1:45" x14ac:dyDescent="0.25">
      <c r="A15" s="75"/>
      <c r="B15" s="73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</row>
    <row r="16" spans="1:45" x14ac:dyDescent="0.25">
      <c r="A16" s="75"/>
      <c r="B16" s="73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</row>
    <row r="17" spans="1:45" x14ac:dyDescent="0.25">
      <c r="A17" s="75"/>
      <c r="B17" s="73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</row>
    <row r="18" spans="1:45" x14ac:dyDescent="0.25">
      <c r="A18" s="75"/>
      <c r="B18" s="73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</row>
    <row r="19" spans="1:45" x14ac:dyDescent="0.25">
      <c r="A19" s="75"/>
      <c r="B19" s="73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</row>
    <row r="20" spans="1:45" x14ac:dyDescent="0.25">
      <c r="A20" s="75"/>
      <c r="B20" s="73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</row>
    <row r="21" spans="1:45" x14ac:dyDescent="0.25">
      <c r="A21" s="75"/>
      <c r="B21" s="73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</row>
    <row r="22" spans="1:45" x14ac:dyDescent="0.25">
      <c r="A22" s="75"/>
      <c r="B22" s="73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</row>
    <row r="23" spans="1:45" x14ac:dyDescent="0.25">
      <c r="A23" s="75"/>
      <c r="B23" s="73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</row>
    <row r="24" spans="1:45" x14ac:dyDescent="0.25">
      <c r="A24" s="75"/>
      <c r="B24" s="73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</row>
    <row r="25" spans="1:45" x14ac:dyDescent="0.25">
      <c r="A25" s="75"/>
      <c r="B25" s="73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</row>
    <row r="26" spans="1:45" x14ac:dyDescent="0.25">
      <c r="A26" s="75"/>
      <c r="B26" s="73" t="s">
        <v>43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</row>
    <row r="27" spans="1:45" x14ac:dyDescent="0.25">
      <c r="A27" s="75"/>
      <c r="B27" s="73"/>
      <c r="C27" s="72" t="s">
        <v>44</v>
      </c>
      <c r="D27" s="72"/>
      <c r="E27" s="72"/>
      <c r="F27" s="72"/>
      <c r="G27" s="72"/>
      <c r="H27" s="76">
        <f>'Nhập dữ liệu'!B13</f>
        <v>2.6</v>
      </c>
      <c r="I27" s="72" t="s">
        <v>46</v>
      </c>
      <c r="J27" s="72" t="s">
        <v>45</v>
      </c>
      <c r="K27" s="76">
        <f>'Nhập dữ liệu'!C13</f>
        <v>5.4</v>
      </c>
      <c r="L27" s="72" t="s">
        <v>46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</row>
    <row r="28" spans="1:45" ht="19.5" x14ac:dyDescent="0.35">
      <c r="A28" s="75"/>
      <c r="B28" s="73"/>
      <c r="C28" s="72" t="s">
        <v>47</v>
      </c>
      <c r="D28" s="72"/>
      <c r="E28" s="72"/>
      <c r="F28" s="72"/>
      <c r="G28" s="76" t="s">
        <v>48</v>
      </c>
      <c r="H28" s="76">
        <f>'Nhập dữ liệu'!D19/1000</f>
        <v>0.33500000000000002</v>
      </c>
      <c r="I28" s="72" t="s">
        <v>46</v>
      </c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</row>
    <row r="29" spans="1:45" ht="19.5" x14ac:dyDescent="0.35">
      <c r="A29" s="75"/>
      <c r="B29" s="73"/>
      <c r="C29" s="72" t="s">
        <v>49</v>
      </c>
      <c r="D29" s="72"/>
      <c r="E29" s="72"/>
      <c r="F29" s="72"/>
      <c r="G29" s="72"/>
      <c r="H29" s="72">
        <f>'Nhập dữ liệu'!D13/1000</f>
        <v>0.3</v>
      </c>
      <c r="I29" s="77">
        <f>'Nhập dữ liệu'!E13/1000</f>
        <v>0.3</v>
      </c>
      <c r="J29" s="72" t="s">
        <v>50</v>
      </c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</row>
    <row r="30" spans="1:45" x14ac:dyDescent="0.25">
      <c r="A30" s="75"/>
      <c r="B30" s="73" t="s">
        <v>51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</row>
    <row r="31" spans="1:45" x14ac:dyDescent="0.25">
      <c r="A31" s="75"/>
      <c r="B31" s="73"/>
      <c r="C31" s="72" t="s">
        <v>52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</row>
    <row r="32" spans="1:45" x14ac:dyDescent="0.25">
      <c r="A32" s="75"/>
      <c r="B32" s="73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</row>
    <row r="33" spans="1:45" x14ac:dyDescent="0.25">
      <c r="A33" s="75"/>
      <c r="B33" s="73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</row>
    <row r="34" spans="1:45" x14ac:dyDescent="0.25">
      <c r="A34" s="75"/>
      <c r="B34" s="73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</row>
    <row r="35" spans="1:45" x14ac:dyDescent="0.25">
      <c r="A35" s="75"/>
      <c r="B35" s="73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</row>
    <row r="36" spans="1:45" x14ac:dyDescent="0.25">
      <c r="A36" s="75"/>
      <c r="B36" s="73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</row>
    <row r="37" spans="1:45" x14ac:dyDescent="0.25">
      <c r="A37" s="75"/>
      <c r="B37" s="73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</row>
    <row r="38" spans="1:45" x14ac:dyDescent="0.25">
      <c r="A38" s="75"/>
      <c r="B38" s="73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</row>
    <row r="39" spans="1:45" x14ac:dyDescent="0.25">
      <c r="A39" s="75"/>
      <c r="B39" s="73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</row>
    <row r="40" spans="1:45" x14ac:dyDescent="0.25">
      <c r="A40" s="75"/>
      <c r="B40" s="73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</row>
    <row r="41" spans="1:45" x14ac:dyDescent="0.25">
      <c r="A41" s="75"/>
      <c r="B41" s="73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</row>
    <row r="42" spans="1:45" x14ac:dyDescent="0.25">
      <c r="A42" s="75"/>
      <c r="B42" s="73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</row>
    <row r="43" spans="1:45" x14ac:dyDescent="0.25">
      <c r="A43" s="75"/>
      <c r="B43" s="73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</row>
    <row r="44" spans="1:45" x14ac:dyDescent="0.25">
      <c r="A44" s="75"/>
      <c r="B44" s="73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</row>
    <row r="45" spans="1:45" x14ac:dyDescent="0.25">
      <c r="A45" s="75"/>
      <c r="B45" s="73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</row>
    <row r="46" spans="1:45" x14ac:dyDescent="0.25">
      <c r="A46" s="75"/>
      <c r="B46" s="73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</row>
    <row r="47" spans="1:45" x14ac:dyDescent="0.25">
      <c r="A47" s="75"/>
      <c r="B47" s="73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</row>
    <row r="48" spans="1:45" x14ac:dyDescent="0.25">
      <c r="A48" s="75"/>
      <c r="B48" s="73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</row>
    <row r="49" spans="1:126" x14ac:dyDescent="0.25">
      <c r="A49" s="75"/>
      <c r="B49" s="73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</row>
    <row r="50" spans="1:126" x14ac:dyDescent="0.25">
      <c r="A50" s="75"/>
      <c r="B50" s="73" t="s">
        <v>56</v>
      </c>
      <c r="C50" s="73" t="s">
        <v>57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</row>
    <row r="51" spans="1:126" x14ac:dyDescent="0.25">
      <c r="A51" s="75"/>
      <c r="B51" s="73"/>
      <c r="C51" s="78" t="s">
        <v>58</v>
      </c>
      <c r="D51" s="72"/>
      <c r="E51" s="72"/>
      <c r="F51" s="72"/>
      <c r="G51" s="77">
        <f>'Nhập dữ liệu'!J13</f>
        <v>15</v>
      </c>
      <c r="H51" s="72" t="s">
        <v>59</v>
      </c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</row>
    <row r="52" spans="1:126" ht="19.5" x14ac:dyDescent="0.25">
      <c r="A52" s="75"/>
      <c r="B52" s="73"/>
      <c r="C52" s="72"/>
      <c r="D52" s="36" t="s">
        <v>60</v>
      </c>
      <c r="E52" s="72">
        <f>IF(G51=12.5,7.5,IF(G51=15,8.5,IF(G51=20,11.5,IF(G51=25,14.5,IF(G51=30,17,IF(G51=35,19.5,IF(G51=40,22,IF(G51=45,25,IF(G51=50,27.5,IF(G51=55,30,IF(G51=60,33,"nhập giá trị vào")))))))))))</f>
        <v>8.5</v>
      </c>
      <c r="F52" s="72" t="s">
        <v>64</v>
      </c>
      <c r="G52" s="36" t="s">
        <v>61</v>
      </c>
      <c r="H52" s="72">
        <f>IF(G51=12.5,0.66,IF(G51=15,0.75,IF(G51=20,0.9,IF(G51=25,1.05,IF(G51=30,1.2,IF(G51=35,1.3,IF(G51=40,1.4,IF(G51=45,1.45,IF(G51=50,1.55,IF(G51=55,1.6,IF(G51=60,1.65,"nhập giá trị vào")))))))))))</f>
        <v>0.75</v>
      </c>
      <c r="I52" s="72" t="s">
        <v>64</v>
      </c>
      <c r="J52" s="36" t="s">
        <v>62</v>
      </c>
      <c r="K52" s="72">
        <f>IF(G51=12.5,21,IF(G51=15,23,IF(G51=20,27,IF(G51=25,30,IF(G51=30,32.5,IF(G51=35,34.5,IF(G51=40,36,IF(G51=45,37.5,IF(G51=50,39,IF(G51=55,39.5,IF(G51=60,40,"nhập giá trị vào")))))))))))</f>
        <v>23</v>
      </c>
      <c r="L52" s="36" t="s">
        <v>70</v>
      </c>
      <c r="M52" s="72" t="s">
        <v>64</v>
      </c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</row>
    <row r="53" spans="1:126" ht="19.5" x14ac:dyDescent="0.25">
      <c r="A53" s="75"/>
      <c r="B53" s="73"/>
      <c r="C53" s="78" t="s">
        <v>551</v>
      </c>
      <c r="D53" s="72"/>
      <c r="E53" s="72"/>
      <c r="F53" s="72"/>
      <c r="G53" s="25" t="str">
        <f>'Nhập dữ liệu'!G29</f>
        <v>CI</v>
      </c>
      <c r="H53" s="72" t="s">
        <v>65</v>
      </c>
      <c r="I53" s="36" t="s">
        <v>66</v>
      </c>
      <c r="J53" s="72">
        <f>IF(OR(G53="a-I",G53="ci"),225,IF(OR(G53="a-ii",G53="cii"),280,IF(OR(G53="a-iii",G53="ciii"),365,IF(OR(G53="a-iv",G53="civ"),510,IF(G53="a-v",680,IF(G53="a-vi",815,IF(G53="a-vii",980,IF(G53="a-iiib",490))))))))</f>
        <v>225</v>
      </c>
      <c r="K53" s="72" t="s">
        <v>64</v>
      </c>
      <c r="L53" s="36" t="s">
        <v>67</v>
      </c>
      <c r="M53" s="36">
        <f>IF(OR(G53="a-I",G53="ci"),225,IF(OR(G53="a-ii",G53="cii"),280,IF(OR(G53="a-iii",G53="ciii"),365,IF(OR(G53="a-iv",G53="civ"),450,IF(G53="a-v",500,IF(G53="a-vi",500,IF(G53="a-vii",500,IF(G53="a-iiib",200))))))))</f>
        <v>225</v>
      </c>
      <c r="N53" s="72" t="s">
        <v>64</v>
      </c>
      <c r="O53" s="36" t="s">
        <v>68</v>
      </c>
      <c r="P53" s="36">
        <f>IF(OR(G53="a-I",G53="ci"),175,IF(OR(G53="a-ii",G53="cii"),225,IF(OR(G53="a-iii",G53="ciii"),290,IF(OR(G53="a-iv",G53="civ"),405,IF(G53="a-v",545,IF(G53="a-vi",650,IF(G53="a-vii",785,IF(G53="a-iiib",390))))))))</f>
        <v>175</v>
      </c>
      <c r="Q53" s="72" t="s">
        <v>64</v>
      </c>
      <c r="R53" s="36" t="s">
        <v>69</v>
      </c>
      <c r="S53" s="72">
        <f>IF(OR(G53="a-I",G53="a-ii",G53="ci",G53="cii"),21,IF(OR(G53="a-iii",G53="ciii"),20,IF(OR(G53="civ",G53="a-iv",G53="a-v",G53="a-vii"),19,IF(G53="a-iiib",18))))</f>
        <v>21</v>
      </c>
      <c r="T53" s="36" t="s">
        <v>63</v>
      </c>
      <c r="U53" s="72" t="s">
        <v>64</v>
      </c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</row>
    <row r="54" spans="1:126" ht="19.5" x14ac:dyDescent="0.25">
      <c r="A54" s="75"/>
      <c r="B54" s="73"/>
      <c r="C54" s="78" t="s">
        <v>552</v>
      </c>
      <c r="D54" s="72"/>
      <c r="E54" s="72"/>
      <c r="F54" s="72"/>
      <c r="G54" s="25" t="str">
        <f>'Nhập dữ liệu'!G30</f>
        <v>CII</v>
      </c>
      <c r="H54" s="72" t="s">
        <v>65</v>
      </c>
      <c r="I54" s="36" t="s">
        <v>66</v>
      </c>
      <c r="J54" s="72">
        <f>IF(OR(G54="a-I",G54="ci"),225,IF(OR(G54="a-ii",G54="cii"),280,IF(OR(G54="a-iii",G54="ciii"),365,IF(OR(G54="a-iv",G54="civ"),510,IF(G54="a-v",680,IF(G54="a-vi",815,IF(G54="a-vii",980,IF(G54="a-iiib",490))))))))</f>
        <v>280</v>
      </c>
      <c r="K54" s="72" t="s">
        <v>64</v>
      </c>
      <c r="L54" s="36" t="s">
        <v>67</v>
      </c>
      <c r="M54" s="2">
        <f>IF(OR(G54="a-I",G54="ci"),225,IF(OR(G54="a-ii",G54="cii"),280,IF(OR(G54="a-iii",G54="ciii"),365,IF(OR(G54="a-iv",G54="civ"),450,IF(G54="a-v",500,IF(G54="a-vi",500,IF(G54="a-vii",500,IF(G54="a-iiib",200))))))))</f>
        <v>280</v>
      </c>
      <c r="N54" s="72" t="s">
        <v>64</v>
      </c>
      <c r="O54" s="36" t="s">
        <v>68</v>
      </c>
      <c r="P54" s="2">
        <f>IF(OR(G54="a-I",G54="ci"),175,IF(OR(G54="a-ii",G54="cii"),225,IF(OR(G54="a-iii",G54="ciii"),290,IF(OR(G54="a-iv",G54="civ"),405,IF(G54="a-v",545,IF(G54="a-vi",650,IF(G54="a-vii",785,IF(G54="a-iiib",390))))))))</f>
        <v>225</v>
      </c>
      <c r="Q54" s="72" t="s">
        <v>64</v>
      </c>
      <c r="R54" s="36" t="s">
        <v>69</v>
      </c>
      <c r="S54" s="72">
        <f>IF(OR(G54="a-I",G54="a-ii",G54="ci",G54="cii"),21,IF(OR(G54="a-iii",G54="ciii"),20,IF(OR(G54="civ",G54="a-iv",G54="a-v",G54="a-vii"),19,IF(G54="a-iiib",18))))</f>
        <v>21</v>
      </c>
      <c r="T54" s="36" t="s">
        <v>63</v>
      </c>
      <c r="U54" s="72" t="s">
        <v>64</v>
      </c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</row>
    <row r="55" spans="1:126" x14ac:dyDescent="0.25">
      <c r="A55" s="75"/>
      <c r="B55" s="73" t="s">
        <v>555</v>
      </c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</row>
    <row r="56" spans="1:126" x14ac:dyDescent="0.25">
      <c r="A56" s="75"/>
      <c r="B56" s="73"/>
      <c r="C56" s="72"/>
      <c r="D56" s="72"/>
      <c r="E56" s="72"/>
      <c r="F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</row>
    <row r="57" spans="1:126" x14ac:dyDescent="0.25">
      <c r="A57" s="75"/>
      <c r="B57" s="73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</row>
    <row r="58" spans="1:126" x14ac:dyDescent="0.25">
      <c r="A58" s="75"/>
      <c r="B58" s="73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</row>
    <row r="59" spans="1:126" x14ac:dyDescent="0.25">
      <c r="A59" s="75"/>
      <c r="B59" s="73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</row>
    <row r="60" spans="1:126" x14ac:dyDescent="0.25">
      <c r="A60" s="75"/>
      <c r="B60" s="73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</row>
    <row r="61" spans="1:126" x14ac:dyDescent="0.25">
      <c r="A61" s="75"/>
      <c r="B61" s="73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</row>
    <row r="62" spans="1:126" x14ac:dyDescent="0.25">
      <c r="A62" s="75"/>
      <c r="B62" s="73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</row>
    <row r="63" spans="1:126" x14ac:dyDescent="0.25">
      <c r="A63" s="75"/>
      <c r="B63" s="73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</row>
    <row r="64" spans="1:126" x14ac:dyDescent="0.25">
      <c r="A64" s="75"/>
      <c r="B64" s="73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</row>
    <row r="65" spans="1:126" x14ac:dyDescent="0.25">
      <c r="A65" s="75"/>
      <c r="B65" s="73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</row>
    <row r="66" spans="1:126" x14ac:dyDescent="0.25">
      <c r="A66" s="75"/>
      <c r="B66" s="7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</row>
    <row r="67" spans="1:126" x14ac:dyDescent="0.25">
      <c r="A67" s="75"/>
      <c r="B67" s="73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</row>
    <row r="68" spans="1:126" x14ac:dyDescent="0.25">
      <c r="A68" s="75"/>
      <c r="B68" s="73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</row>
    <row r="69" spans="1:126" x14ac:dyDescent="0.25">
      <c r="A69" s="75"/>
      <c r="B69" s="73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</row>
    <row r="70" spans="1:126" x14ac:dyDescent="0.25">
      <c r="A70" s="75"/>
      <c r="B70" s="73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</row>
    <row r="71" spans="1:126" x14ac:dyDescent="0.25">
      <c r="A71" s="75"/>
      <c r="B71" s="73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</row>
    <row r="72" spans="1:126" x14ac:dyDescent="0.25">
      <c r="A72" s="75"/>
      <c r="B72" s="73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</row>
    <row r="73" spans="1:126" x14ac:dyDescent="0.25">
      <c r="A73" s="75"/>
      <c r="B73" s="73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</row>
    <row r="74" spans="1:126" x14ac:dyDescent="0.25">
      <c r="A74" s="75"/>
      <c r="B74" s="73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</row>
    <row r="75" spans="1:126" x14ac:dyDescent="0.25">
      <c r="A75" s="75"/>
      <c r="B75" s="73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</row>
    <row r="76" spans="1:126" x14ac:dyDescent="0.25">
      <c r="A76" s="75"/>
      <c r="B76" s="73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</row>
    <row r="77" spans="1:126" x14ac:dyDescent="0.25">
      <c r="A77" s="75"/>
      <c r="B77" s="73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</row>
    <row r="78" spans="1:126" x14ac:dyDescent="0.25">
      <c r="A78" s="75"/>
      <c r="B78" s="73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</row>
    <row r="79" spans="1:126" x14ac:dyDescent="0.25">
      <c r="A79" s="75"/>
      <c r="B79" s="73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</row>
    <row r="80" spans="1:126" x14ac:dyDescent="0.25">
      <c r="A80" s="75"/>
      <c r="B80" s="73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</row>
    <row r="81" spans="1:126" x14ac:dyDescent="0.25">
      <c r="A81" s="75"/>
      <c r="B81" s="73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</row>
    <row r="82" spans="1:126" x14ac:dyDescent="0.25">
      <c r="A82" s="75"/>
      <c r="B82" s="73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</row>
    <row r="83" spans="1:126" x14ac:dyDescent="0.25">
      <c r="A83" s="75"/>
      <c r="B83" s="73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</row>
    <row r="84" spans="1:126" x14ac:dyDescent="0.25">
      <c r="A84" s="75"/>
      <c r="B84" s="73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</row>
    <row r="85" spans="1:126" x14ac:dyDescent="0.25">
      <c r="A85" s="75"/>
      <c r="B85" s="73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</row>
    <row r="86" spans="1:126" x14ac:dyDescent="0.25">
      <c r="A86" s="75"/>
      <c r="B86" s="73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</row>
    <row r="87" spans="1:126" x14ac:dyDescent="0.25">
      <c r="A87" s="75"/>
      <c r="B87" s="73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</row>
    <row r="88" spans="1:126" x14ac:dyDescent="0.25">
      <c r="A88" s="75"/>
      <c r="B88" s="73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</row>
    <row r="89" spans="1:126" x14ac:dyDescent="0.25">
      <c r="A89" s="75"/>
      <c r="B89" s="73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</row>
    <row r="90" spans="1:126" x14ac:dyDescent="0.25">
      <c r="A90" s="75"/>
      <c r="B90" s="73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</row>
    <row r="91" spans="1:126" x14ac:dyDescent="0.25">
      <c r="A91" s="75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</row>
    <row r="92" spans="1:126" x14ac:dyDescent="0.25">
      <c r="A92" s="75"/>
      <c r="B92" s="73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</row>
    <row r="93" spans="1:126" x14ac:dyDescent="0.25">
      <c r="A93" s="75"/>
      <c r="B93" s="73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</row>
    <row r="94" spans="1:126" x14ac:dyDescent="0.25">
      <c r="A94" s="75"/>
      <c r="B94" s="73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</row>
    <row r="95" spans="1:126" x14ac:dyDescent="0.25">
      <c r="A95" s="75"/>
      <c r="B95" s="73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</row>
    <row r="96" spans="1:126" x14ac:dyDescent="0.25">
      <c r="A96" s="75"/>
      <c r="B96" s="73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</row>
    <row r="97" spans="1:126" x14ac:dyDescent="0.25">
      <c r="A97" s="75"/>
      <c r="B97" s="73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</row>
    <row r="98" spans="1:126" x14ac:dyDescent="0.25">
      <c r="A98" s="75"/>
      <c r="B98" s="73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</row>
    <row r="99" spans="1:126" x14ac:dyDescent="0.25">
      <c r="A99" s="75"/>
      <c r="B99" s="73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</row>
    <row r="100" spans="1:126" x14ac:dyDescent="0.25">
      <c r="A100" s="75"/>
      <c r="B100" s="73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</row>
    <row r="101" spans="1:126" x14ac:dyDescent="0.25">
      <c r="A101" s="75"/>
      <c r="B101" s="73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</row>
    <row r="102" spans="1:126" x14ac:dyDescent="0.25">
      <c r="A102" s="75"/>
      <c r="B102" s="73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</row>
    <row r="103" spans="1:126" x14ac:dyDescent="0.25">
      <c r="A103" s="75"/>
      <c r="B103" s="73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</row>
    <row r="104" spans="1:126" x14ac:dyDescent="0.25">
      <c r="A104" s="75"/>
      <c r="B104" s="73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</row>
    <row r="105" spans="1:126" x14ac:dyDescent="0.25">
      <c r="A105" s="75"/>
      <c r="B105" s="73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</row>
    <row r="106" spans="1:126" x14ac:dyDescent="0.25">
      <c r="A106" s="75"/>
      <c r="B106" s="73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</row>
    <row r="107" spans="1:126" x14ac:dyDescent="0.25">
      <c r="A107" s="75"/>
      <c r="B107" s="73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</row>
    <row r="108" spans="1:126" x14ac:dyDescent="0.25">
      <c r="A108" s="75"/>
      <c r="B108" s="73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</row>
    <row r="109" spans="1:126" x14ac:dyDescent="0.25">
      <c r="A109" s="75"/>
      <c r="B109" s="73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</row>
    <row r="110" spans="1:126" x14ac:dyDescent="0.25">
      <c r="A110" s="75"/>
      <c r="B110" s="73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</row>
    <row r="111" spans="1:126" x14ac:dyDescent="0.25">
      <c r="A111" s="75"/>
      <c r="B111" s="73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</row>
    <row r="112" spans="1:126" x14ac:dyDescent="0.25">
      <c r="A112" s="75"/>
      <c r="B112" s="73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</row>
    <row r="113" spans="1:126" x14ac:dyDescent="0.25">
      <c r="A113" s="75"/>
      <c r="B113" s="73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</row>
    <row r="114" spans="1:126" x14ac:dyDescent="0.25">
      <c r="A114" s="75"/>
      <c r="B114" s="73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</row>
    <row r="115" spans="1:126" x14ac:dyDescent="0.25">
      <c r="A115" s="75"/>
      <c r="B115" s="73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</row>
    <row r="116" spans="1:126" x14ac:dyDescent="0.25">
      <c r="A116" s="75"/>
      <c r="B116" s="73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</row>
    <row r="117" spans="1:126" x14ac:dyDescent="0.25">
      <c r="A117" s="75"/>
      <c r="B117" s="73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</row>
    <row r="118" spans="1:126" x14ac:dyDescent="0.25">
      <c r="A118" s="75"/>
      <c r="B118" s="73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</row>
    <row r="119" spans="1:126" x14ac:dyDescent="0.25">
      <c r="A119" s="75"/>
      <c r="B119" s="73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</row>
    <row r="120" spans="1:126" x14ac:dyDescent="0.25">
      <c r="A120" s="75"/>
      <c r="B120" s="73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</row>
    <row r="121" spans="1:126" x14ac:dyDescent="0.25">
      <c r="A121" s="75"/>
      <c r="B121" s="73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</row>
    <row r="122" spans="1:126" x14ac:dyDescent="0.25">
      <c r="A122" s="75"/>
      <c r="B122" s="73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</row>
    <row r="123" spans="1:126" x14ac:dyDescent="0.25">
      <c r="A123" s="75"/>
      <c r="B123" s="73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</row>
    <row r="124" spans="1:126" x14ac:dyDescent="0.25">
      <c r="A124" s="75"/>
      <c r="B124" s="73"/>
    </row>
    <row r="125" spans="1:126" x14ac:dyDescent="0.25">
      <c r="A125" s="75"/>
      <c r="B125" s="73"/>
    </row>
    <row r="126" spans="1:126" x14ac:dyDescent="0.25">
      <c r="A126" s="75"/>
      <c r="B126" s="73"/>
    </row>
    <row r="127" spans="1:126" x14ac:dyDescent="0.25">
      <c r="A127" s="75"/>
      <c r="B127" s="73"/>
    </row>
    <row r="128" spans="1:126" x14ac:dyDescent="0.25">
      <c r="A128" s="75"/>
      <c r="B128" s="73"/>
    </row>
    <row r="129" spans="1:2" x14ac:dyDescent="0.25">
      <c r="A129" s="75"/>
      <c r="B129" s="73"/>
    </row>
    <row r="130" spans="1:2" x14ac:dyDescent="0.25">
      <c r="A130" s="75"/>
      <c r="B130" s="73"/>
    </row>
    <row r="131" spans="1:2" x14ac:dyDescent="0.25">
      <c r="A131" s="75"/>
      <c r="B131" s="73"/>
    </row>
    <row r="132" spans="1:2" x14ac:dyDescent="0.25">
      <c r="A132" s="75"/>
      <c r="B132" s="73"/>
    </row>
    <row r="133" spans="1:2" x14ac:dyDescent="0.25">
      <c r="A133" s="75"/>
      <c r="B133" s="73"/>
    </row>
    <row r="134" spans="1:2" x14ac:dyDescent="0.25">
      <c r="A134" s="75"/>
      <c r="B134" s="73"/>
    </row>
    <row r="135" spans="1:2" x14ac:dyDescent="0.25">
      <c r="A135" s="75"/>
      <c r="B135" s="73"/>
    </row>
    <row r="136" spans="1:2" x14ac:dyDescent="0.25">
      <c r="A136" s="75"/>
      <c r="B136" s="73"/>
    </row>
    <row r="137" spans="1:2" x14ac:dyDescent="0.25">
      <c r="A137" s="75"/>
      <c r="B137" s="73"/>
    </row>
    <row r="138" spans="1:2" x14ac:dyDescent="0.25">
      <c r="A138" s="75"/>
      <c r="B138" s="73"/>
    </row>
    <row r="139" spans="1:2" x14ac:dyDescent="0.25">
      <c r="A139" s="75"/>
      <c r="B139" s="73"/>
    </row>
    <row r="140" spans="1:2" x14ac:dyDescent="0.25">
      <c r="A140" s="75"/>
      <c r="B140" s="73"/>
    </row>
    <row r="141" spans="1:2" x14ac:dyDescent="0.25">
      <c r="A141" s="75"/>
      <c r="B141" s="73"/>
    </row>
    <row r="142" spans="1:2" x14ac:dyDescent="0.25">
      <c r="A142" s="75"/>
      <c r="B142" s="73"/>
    </row>
    <row r="143" spans="1:2" x14ac:dyDescent="0.25">
      <c r="A143" s="75"/>
      <c r="B143" s="73"/>
    </row>
    <row r="144" spans="1:2" x14ac:dyDescent="0.25">
      <c r="A144" s="75"/>
      <c r="B144" s="73"/>
    </row>
    <row r="145" spans="1:2" x14ac:dyDescent="0.25">
      <c r="A145" s="75"/>
      <c r="B145" s="73"/>
    </row>
    <row r="146" spans="1:2" x14ac:dyDescent="0.25">
      <c r="A146" s="75"/>
      <c r="B146" s="73"/>
    </row>
    <row r="147" spans="1:2" x14ac:dyDescent="0.25">
      <c r="A147" s="75"/>
      <c r="B147" s="73"/>
    </row>
    <row r="148" spans="1:2" x14ac:dyDescent="0.25">
      <c r="A148" s="75"/>
      <c r="B148" s="73"/>
    </row>
    <row r="149" spans="1:2" x14ac:dyDescent="0.25">
      <c r="A149" s="75"/>
      <c r="B149" s="73"/>
    </row>
    <row r="150" spans="1:2" x14ac:dyDescent="0.25">
      <c r="A150" s="75"/>
      <c r="B150" s="73"/>
    </row>
    <row r="151" spans="1:2" x14ac:dyDescent="0.25">
      <c r="A151" s="75"/>
      <c r="B151" s="73"/>
    </row>
    <row r="152" spans="1:2" x14ac:dyDescent="0.25">
      <c r="A152" s="75"/>
      <c r="B152" s="73"/>
    </row>
    <row r="153" spans="1:2" x14ac:dyDescent="0.25">
      <c r="A153" s="75"/>
      <c r="B153" s="73"/>
    </row>
    <row r="154" spans="1:2" x14ac:dyDescent="0.25">
      <c r="A154" s="75"/>
      <c r="B154" s="73"/>
    </row>
    <row r="155" spans="1:2" x14ac:dyDescent="0.25">
      <c r="A155" s="75"/>
      <c r="B155" s="73"/>
    </row>
    <row r="156" spans="1:2" x14ac:dyDescent="0.25">
      <c r="A156" s="75"/>
      <c r="B156" s="73"/>
    </row>
    <row r="157" spans="1:2" x14ac:dyDescent="0.25">
      <c r="A157" s="75"/>
      <c r="B157" s="73"/>
    </row>
    <row r="158" spans="1:2" x14ac:dyDescent="0.25">
      <c r="A158" s="75"/>
      <c r="B158" s="73"/>
    </row>
    <row r="159" spans="1:2" x14ac:dyDescent="0.25">
      <c r="A159" s="75"/>
      <c r="B159" s="73"/>
    </row>
    <row r="160" spans="1:2" x14ac:dyDescent="0.25">
      <c r="A160" s="75"/>
      <c r="B160" s="73"/>
    </row>
    <row r="161" spans="1:2" x14ac:dyDescent="0.25">
      <c r="A161" s="75"/>
      <c r="B161" s="73"/>
    </row>
    <row r="162" spans="1:2" x14ac:dyDescent="0.25">
      <c r="A162" s="75"/>
      <c r="B162" s="73"/>
    </row>
    <row r="163" spans="1:2" x14ac:dyDescent="0.25">
      <c r="A163" s="75"/>
      <c r="B163" s="73"/>
    </row>
    <row r="164" spans="1:2" x14ac:dyDescent="0.25">
      <c r="A164" s="75"/>
      <c r="B164" s="73"/>
    </row>
    <row r="165" spans="1:2" x14ac:dyDescent="0.25">
      <c r="A165" s="75"/>
      <c r="B165" s="73"/>
    </row>
    <row r="166" spans="1:2" x14ac:dyDescent="0.25">
      <c r="A166" s="75"/>
      <c r="B166" s="73"/>
    </row>
    <row r="167" spans="1:2" x14ac:dyDescent="0.25">
      <c r="A167" s="75"/>
      <c r="B167" s="73"/>
    </row>
    <row r="168" spans="1:2" x14ac:dyDescent="0.25">
      <c r="A168" s="75"/>
      <c r="B168" s="73"/>
    </row>
    <row r="169" spans="1:2" x14ac:dyDescent="0.25">
      <c r="A169" s="75"/>
      <c r="B169" s="73"/>
    </row>
    <row r="170" spans="1:2" x14ac:dyDescent="0.25">
      <c r="A170" s="75"/>
      <c r="B170" s="73"/>
    </row>
    <row r="171" spans="1:2" x14ac:dyDescent="0.25">
      <c r="A171" s="75"/>
      <c r="B171" s="73"/>
    </row>
    <row r="172" spans="1:2" x14ac:dyDescent="0.25">
      <c r="A172" s="75"/>
      <c r="B172" s="73"/>
    </row>
    <row r="173" spans="1:2" x14ac:dyDescent="0.25">
      <c r="A173" s="75"/>
      <c r="B173" s="73"/>
    </row>
    <row r="174" spans="1:2" x14ac:dyDescent="0.25">
      <c r="A174" s="75"/>
      <c r="B174" s="73"/>
    </row>
    <row r="175" spans="1:2" x14ac:dyDescent="0.25">
      <c r="A175" s="75"/>
      <c r="B175" s="73"/>
    </row>
    <row r="176" spans="1:2" x14ac:dyDescent="0.25">
      <c r="A176" s="75"/>
      <c r="B176" s="73"/>
    </row>
    <row r="177" spans="1:2" x14ac:dyDescent="0.25">
      <c r="A177" s="75"/>
      <c r="B177" s="73"/>
    </row>
    <row r="178" spans="1:2" x14ac:dyDescent="0.25">
      <c r="A178" s="75"/>
      <c r="B178" s="73"/>
    </row>
    <row r="179" spans="1:2" x14ac:dyDescent="0.25">
      <c r="A179" s="75"/>
      <c r="B179" s="73"/>
    </row>
    <row r="180" spans="1:2" x14ac:dyDescent="0.25">
      <c r="A180" s="75"/>
      <c r="B180" s="73"/>
    </row>
    <row r="181" spans="1:2" x14ac:dyDescent="0.25">
      <c r="A181" s="75"/>
      <c r="B181" s="73"/>
    </row>
    <row r="182" spans="1:2" x14ac:dyDescent="0.25">
      <c r="A182" s="75"/>
      <c r="B182" s="73"/>
    </row>
    <row r="183" spans="1:2" x14ac:dyDescent="0.25">
      <c r="A183" s="75"/>
      <c r="B183" s="73"/>
    </row>
    <row r="184" spans="1:2" x14ac:dyDescent="0.25">
      <c r="A184" s="75"/>
      <c r="B184" s="73"/>
    </row>
    <row r="185" spans="1:2" x14ac:dyDescent="0.25">
      <c r="A185" s="75"/>
      <c r="B185" s="73"/>
    </row>
    <row r="186" spans="1:2" x14ac:dyDescent="0.25">
      <c r="A186" s="75"/>
      <c r="B186" s="73"/>
    </row>
    <row r="187" spans="1:2" x14ac:dyDescent="0.25">
      <c r="A187" s="75"/>
      <c r="B187" s="73"/>
    </row>
    <row r="188" spans="1:2" x14ac:dyDescent="0.25">
      <c r="A188" s="75"/>
      <c r="B188" s="73"/>
    </row>
    <row r="189" spans="1:2" x14ac:dyDescent="0.25">
      <c r="A189" s="75"/>
      <c r="B189" s="73"/>
    </row>
    <row r="190" spans="1:2" x14ac:dyDescent="0.25">
      <c r="A190" s="75"/>
      <c r="B190" s="73"/>
    </row>
    <row r="191" spans="1:2" x14ac:dyDescent="0.25">
      <c r="A191" s="75"/>
      <c r="B191" s="73"/>
    </row>
    <row r="192" spans="1:2" x14ac:dyDescent="0.25">
      <c r="A192" s="75"/>
      <c r="B192" s="73"/>
    </row>
    <row r="193" spans="1:2" x14ac:dyDescent="0.25">
      <c r="A193" s="75"/>
      <c r="B193" s="73"/>
    </row>
    <row r="194" spans="1:2" x14ac:dyDescent="0.25">
      <c r="A194" s="75"/>
      <c r="B194" s="73"/>
    </row>
    <row r="195" spans="1:2" x14ac:dyDescent="0.25">
      <c r="A195" s="75"/>
      <c r="B195" s="73"/>
    </row>
    <row r="196" spans="1:2" x14ac:dyDescent="0.25">
      <c r="A196" s="75"/>
      <c r="B196" s="73"/>
    </row>
    <row r="197" spans="1:2" x14ac:dyDescent="0.25">
      <c r="A197" s="75"/>
      <c r="B197" s="73"/>
    </row>
    <row r="198" spans="1:2" x14ac:dyDescent="0.25">
      <c r="A198" s="75"/>
      <c r="B198" s="73"/>
    </row>
    <row r="199" spans="1:2" x14ac:dyDescent="0.25">
      <c r="A199" s="75"/>
      <c r="B199" s="73"/>
    </row>
    <row r="200" spans="1:2" x14ac:dyDescent="0.25">
      <c r="A200" s="75"/>
      <c r="B200" s="73"/>
    </row>
  </sheetData>
  <dataValidations count="1">
    <dataValidation type="list" allowBlank="1" showInputMessage="1" showErrorMessage="1" sqref="G53:G54">
      <formula1>"A-I,A-II,A-III,A-IIIb,A-IV,A-V,A-VI,A-VII,CI,CII,CIII,CIV"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utoCAD.Drawing.17" shapeId="2049" r:id="rId4">
          <objectPr defaultSize="0" autoPict="0" r:id="rId5">
            <anchor moveWithCells="1">
              <from>
                <xdr:col>3</xdr:col>
                <xdr:colOff>0</xdr:colOff>
                <xdr:row>31</xdr:row>
                <xdr:rowOff>19050</xdr:rowOff>
              </from>
              <to>
                <xdr:col>10</xdr:col>
                <xdr:colOff>523875</xdr:colOff>
                <xdr:row>48</xdr:row>
                <xdr:rowOff>76200</xdr:rowOff>
              </to>
            </anchor>
          </objectPr>
        </oleObject>
      </mc:Choice>
      <mc:Fallback>
        <oleObject progId="AutoCAD.Drawing.17" shapeId="2049" r:id="rId4"/>
      </mc:Fallback>
    </mc:AlternateContent>
    <mc:AlternateContent xmlns:mc="http://schemas.openxmlformats.org/markup-compatibility/2006">
      <mc:Choice Requires="x14">
        <oleObject progId="AutoCAD.Drawing.17" shapeId="2050" r:id="rId6">
          <objectPr defaultSize="0" autoPict="0" r:id="rId7">
            <anchor moveWithCells="1">
              <from>
                <xdr:col>3</xdr:col>
                <xdr:colOff>9525</xdr:colOff>
                <xdr:row>3</xdr:row>
                <xdr:rowOff>0</xdr:rowOff>
              </from>
              <to>
                <xdr:col>13</xdr:col>
                <xdr:colOff>371475</xdr:colOff>
                <xdr:row>24</xdr:row>
                <xdr:rowOff>47625</xdr:rowOff>
              </to>
            </anchor>
          </objectPr>
        </oleObject>
      </mc:Choice>
      <mc:Fallback>
        <oleObject progId="AutoCAD.Drawing.17" shapeId="205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95"/>
  <sheetViews>
    <sheetView tabSelected="1" workbookViewId="0">
      <pane ySplit="1" topLeftCell="A272" activePane="bottomLeft" state="frozen"/>
      <selection pane="bottomLeft" activeCell="G112" sqref="G112"/>
    </sheetView>
  </sheetViews>
  <sheetFormatPr defaultRowHeight="15.75" x14ac:dyDescent="0.25"/>
  <cols>
    <col min="1" max="1" width="2.140625" style="30" customWidth="1"/>
    <col min="2" max="2" width="2.42578125" style="30" customWidth="1"/>
    <col min="3" max="3" width="3" style="27" customWidth="1"/>
    <col min="4" max="4" width="9.7109375" style="27" customWidth="1"/>
    <col min="5" max="6" width="9.140625" style="27"/>
    <col min="7" max="8" width="14.85546875" style="27" bestFit="1" customWidth="1"/>
    <col min="9" max="9" width="11" style="27" customWidth="1"/>
    <col min="10" max="10" width="9.140625" style="27"/>
    <col min="11" max="11" width="10.85546875" style="27" customWidth="1"/>
    <col min="12" max="12" width="14.85546875" style="27" customWidth="1"/>
    <col min="13" max="20" width="9.140625" style="27"/>
    <col min="21" max="22" width="9.140625" style="123"/>
    <col min="23" max="16384" width="9.140625" style="27"/>
  </cols>
  <sheetData>
    <row r="1" spans="1:22" x14ac:dyDescent="0.25">
      <c r="A1" s="30" t="s">
        <v>71</v>
      </c>
      <c r="C1" s="30" t="s">
        <v>72</v>
      </c>
    </row>
    <row r="2" spans="1:22" x14ac:dyDescent="0.25">
      <c r="B2" s="30" t="s">
        <v>18</v>
      </c>
      <c r="C2" s="30" t="s">
        <v>73</v>
      </c>
    </row>
    <row r="3" spans="1:22" x14ac:dyDescent="0.25">
      <c r="C3" s="82" t="s">
        <v>74</v>
      </c>
    </row>
    <row r="4" spans="1:22" x14ac:dyDescent="0.25">
      <c r="F4" s="79">
        <v>1.1000000000000001</v>
      </c>
    </row>
    <row r="5" spans="1:22" ht="19.5" x14ac:dyDescent="0.25">
      <c r="D5" s="83"/>
      <c r="F5" s="38" t="s">
        <v>75</v>
      </c>
      <c r="G5" s="36">
        <f>'Nhập dữ liệu'!B13*1000</f>
        <v>2600</v>
      </c>
      <c r="H5" s="84" t="s">
        <v>76</v>
      </c>
      <c r="I5" s="85">
        <f>F4*G5/F6</f>
        <v>81.714285714285722</v>
      </c>
      <c r="J5" s="27" t="s">
        <v>77</v>
      </c>
      <c r="K5" s="27" t="s">
        <v>78</v>
      </c>
      <c r="L5" s="36" t="s">
        <v>79</v>
      </c>
      <c r="M5" s="36">
        <f>IF(V5&gt;=5,10*(INT(U5/10)+1),10*(INT(U5/10)))</f>
        <v>80</v>
      </c>
      <c r="N5" s="27" t="s">
        <v>80</v>
      </c>
      <c r="U5" s="124">
        <f>INT(I5)</f>
        <v>81</v>
      </c>
      <c r="V5" s="124">
        <f>MOD(U5,10)</f>
        <v>1</v>
      </c>
    </row>
    <row r="6" spans="1:22" x14ac:dyDescent="0.25">
      <c r="F6" s="79">
        <v>35</v>
      </c>
    </row>
    <row r="8" spans="1:22" x14ac:dyDescent="0.25">
      <c r="D8" s="27" t="s">
        <v>81</v>
      </c>
      <c r="F8" s="27">
        <f>F4</f>
        <v>1.1000000000000001</v>
      </c>
      <c r="G8" s="27" t="s">
        <v>82</v>
      </c>
      <c r="J8" s="36">
        <f>F6</f>
        <v>35</v>
      </c>
      <c r="K8" s="27" t="s">
        <v>83</v>
      </c>
    </row>
    <row r="9" spans="1:22" x14ac:dyDescent="0.25">
      <c r="C9" s="82" t="s">
        <v>84</v>
      </c>
    </row>
    <row r="10" spans="1:22" x14ac:dyDescent="0.25">
      <c r="F10" s="36">
        <v>1</v>
      </c>
    </row>
    <row r="11" spans="1:22" ht="19.5" x14ac:dyDescent="0.25">
      <c r="D11" s="83"/>
      <c r="F11" s="38" t="s">
        <v>75</v>
      </c>
      <c r="G11" s="36">
        <f>'Nhập dữ liệu'!C13*1000</f>
        <v>5400</v>
      </c>
      <c r="H11" s="84" t="s">
        <v>76</v>
      </c>
      <c r="I11" s="85">
        <f>G11/F12</f>
        <v>385.71428571428572</v>
      </c>
      <c r="J11" s="27" t="s">
        <v>77</v>
      </c>
      <c r="L11" s="27" t="s">
        <v>78</v>
      </c>
      <c r="M11" s="36" t="s">
        <v>86</v>
      </c>
      <c r="N11" s="36">
        <f>IF(V11&gt;=50,100*(INT(U11/100)+1),100*(INT(U11/100)))</f>
        <v>400</v>
      </c>
      <c r="O11" s="27" t="s">
        <v>77</v>
      </c>
      <c r="P11" s="36" t="s">
        <v>87</v>
      </c>
      <c r="Q11" s="24">
        <v>220</v>
      </c>
      <c r="R11" s="27" t="s">
        <v>77</v>
      </c>
      <c r="U11" s="124">
        <f>INT(I11)</f>
        <v>385</v>
      </c>
      <c r="V11" s="124">
        <f>MOD(U11,100)</f>
        <v>85</v>
      </c>
    </row>
    <row r="12" spans="1:22" x14ac:dyDescent="0.25">
      <c r="F12" s="79">
        <v>14</v>
      </c>
    </row>
    <row r="14" spans="1:22" x14ac:dyDescent="0.25">
      <c r="C14" s="82" t="s">
        <v>85</v>
      </c>
    </row>
    <row r="15" spans="1:22" x14ac:dyDescent="0.25">
      <c r="F15" s="36">
        <v>1</v>
      </c>
    </row>
    <row r="16" spans="1:22" ht="19.5" x14ac:dyDescent="0.25">
      <c r="D16" s="83"/>
      <c r="F16" s="38" t="s">
        <v>75</v>
      </c>
      <c r="G16" s="84" t="s">
        <v>569</v>
      </c>
      <c r="H16" s="36">
        <f>'Nhập dữ liệu'!B13*1000</f>
        <v>2600</v>
      </c>
      <c r="I16" s="38" t="s">
        <v>76</v>
      </c>
      <c r="J16" s="118">
        <f>H16*3/F17</f>
        <v>709.09090909090912</v>
      </c>
      <c r="K16" s="27" t="s">
        <v>88</v>
      </c>
      <c r="L16" s="27" t="s">
        <v>78</v>
      </c>
      <c r="M16" s="36" t="s">
        <v>231</v>
      </c>
      <c r="N16" s="36">
        <f>IF(V16&gt;=50,100*(INT(U16/100)+1),100*(INT(U16/100)))</f>
        <v>700</v>
      </c>
      <c r="O16" s="27" t="s">
        <v>77</v>
      </c>
      <c r="P16" s="36" t="s">
        <v>230</v>
      </c>
      <c r="Q16" s="24">
        <v>300</v>
      </c>
      <c r="R16" s="27" t="s">
        <v>77</v>
      </c>
      <c r="U16" s="124">
        <f>INT(J16)</f>
        <v>709</v>
      </c>
      <c r="V16" s="124">
        <f>MOD(U16,100)</f>
        <v>9</v>
      </c>
    </row>
    <row r="17" spans="2:14" x14ac:dyDescent="0.25">
      <c r="F17" s="79">
        <v>11</v>
      </c>
    </row>
    <row r="19" spans="2:14" x14ac:dyDescent="0.25">
      <c r="B19" s="30" t="s">
        <v>21</v>
      </c>
      <c r="C19" s="30" t="s">
        <v>89</v>
      </c>
      <c r="H19" s="36">
        <f>'Nhập dữ liệu'!C13</f>
        <v>5.4</v>
      </c>
    </row>
    <row r="20" spans="2:14" x14ac:dyDescent="0.25">
      <c r="D20" s="38" t="s">
        <v>90</v>
      </c>
      <c r="G20" s="83"/>
      <c r="H20" s="84" t="s">
        <v>91</v>
      </c>
      <c r="I20" s="86">
        <f>H19/H21</f>
        <v>2.0769230769230771</v>
      </c>
      <c r="J20" s="27" t="str">
        <f>IF(I20&gt;2,"&gt; 2 , xem bản làm việc theo một phương","xem lại số liệu đầu vào")</f>
        <v>&gt; 2 , xem bản làm việc theo một phương</v>
      </c>
    </row>
    <row r="21" spans="2:14" x14ac:dyDescent="0.25">
      <c r="H21" s="36">
        <f>'Nhập dữ liệu'!B13</f>
        <v>2.6</v>
      </c>
    </row>
    <row r="22" spans="2:14" x14ac:dyDescent="0.25">
      <c r="D22" s="38" t="s">
        <v>92</v>
      </c>
      <c r="G22" s="27">
        <v>1000</v>
      </c>
      <c r="H22" s="27" t="s">
        <v>93</v>
      </c>
    </row>
    <row r="23" spans="2:14" x14ac:dyDescent="0.25">
      <c r="D23" s="27" t="s">
        <v>570</v>
      </c>
    </row>
    <row r="24" spans="2:14" x14ac:dyDescent="0.25">
      <c r="C24" s="30" t="s">
        <v>94</v>
      </c>
    </row>
    <row r="25" spans="2:14" x14ac:dyDescent="0.25">
      <c r="J25" s="36">
        <f>Q11/1000</f>
        <v>0.22</v>
      </c>
      <c r="K25" s="36">
        <f>'Nhập dữ liệu'!D19/1000</f>
        <v>0.33500000000000002</v>
      </c>
      <c r="L25" s="36">
        <f>M5/1000</f>
        <v>0.08</v>
      </c>
      <c r="M25" s="36"/>
    </row>
    <row r="26" spans="2:14" x14ac:dyDescent="0.25">
      <c r="D26" s="38" t="s">
        <v>95</v>
      </c>
      <c r="F26" s="83"/>
      <c r="H26" s="36"/>
      <c r="I26" s="27">
        <f>'Nhập dữ liệu'!B13</f>
        <v>2.6</v>
      </c>
      <c r="J26" s="38" t="s">
        <v>96</v>
      </c>
      <c r="K26" s="36"/>
      <c r="L26" s="36"/>
      <c r="M26" s="36">
        <f>I26-J25/2-K25/2+L25/2</f>
        <v>2.3625000000000003</v>
      </c>
      <c r="N26" s="27" t="s">
        <v>46</v>
      </c>
    </row>
    <row r="27" spans="2:14" x14ac:dyDescent="0.25">
      <c r="J27" s="36">
        <v>2</v>
      </c>
      <c r="K27" s="36">
        <v>2</v>
      </c>
      <c r="L27" s="36">
        <v>2</v>
      </c>
      <c r="M27" s="36"/>
    </row>
    <row r="29" spans="2:14" ht="19.5" x14ac:dyDescent="0.25">
      <c r="D29" s="38" t="s">
        <v>97</v>
      </c>
      <c r="F29" s="27" t="s">
        <v>98</v>
      </c>
      <c r="H29" s="36">
        <f>'Nhập dữ liệu'!B13</f>
        <v>2.6</v>
      </c>
      <c r="I29" s="84" t="s">
        <v>99</v>
      </c>
      <c r="J29" s="36">
        <f>Q11/1000</f>
        <v>0.22</v>
      </c>
      <c r="K29" s="84" t="s">
        <v>76</v>
      </c>
      <c r="L29" s="114">
        <f>H29-J29</f>
        <v>2.38</v>
      </c>
      <c r="M29" s="36" t="s">
        <v>46</v>
      </c>
      <c r="N29" s="36"/>
    </row>
    <row r="30" spans="2:14" x14ac:dyDescent="0.25">
      <c r="H30" s="87">
        <f>MAX(M26,L29)</f>
        <v>2.38</v>
      </c>
      <c r="I30" s="84" t="s">
        <v>99</v>
      </c>
      <c r="J30" s="108">
        <f>MIN(M26,L29)</f>
        <v>2.3625000000000003</v>
      </c>
    </row>
    <row r="31" spans="2:14" x14ac:dyDescent="0.25">
      <c r="D31" s="38" t="s">
        <v>102</v>
      </c>
      <c r="H31" s="38" t="s">
        <v>100</v>
      </c>
      <c r="L31" s="88">
        <f>(H30-J30)/I32</f>
        <v>7.407407407407249E-3</v>
      </c>
      <c r="M31" s="27" t="s">
        <v>101</v>
      </c>
    </row>
    <row r="32" spans="2:14" x14ac:dyDescent="0.25">
      <c r="I32" s="36">
        <f>M26</f>
        <v>2.3625000000000003</v>
      </c>
    </row>
    <row r="34" spans="2:20" x14ac:dyDescent="0.25">
      <c r="B34" s="30" t="s">
        <v>103</v>
      </c>
      <c r="C34" s="30" t="s">
        <v>104</v>
      </c>
    </row>
    <row r="35" spans="2:20" x14ac:dyDescent="0.25">
      <c r="D35" s="27" t="s">
        <v>105</v>
      </c>
    </row>
    <row r="36" spans="2:20" x14ac:dyDescent="0.25">
      <c r="D36" s="27" t="s">
        <v>363</v>
      </c>
    </row>
    <row r="38" spans="2:20" x14ac:dyDescent="0.25">
      <c r="E38" s="30" t="s">
        <v>348</v>
      </c>
    </row>
    <row r="39" spans="2:20" x14ac:dyDescent="0.25">
      <c r="D39" s="89"/>
      <c r="E39" s="90"/>
      <c r="F39" s="91"/>
      <c r="G39" s="92" t="s">
        <v>25</v>
      </c>
      <c r="H39" s="93" t="s">
        <v>107</v>
      </c>
      <c r="I39" s="89"/>
      <c r="J39" s="90"/>
      <c r="K39" s="91"/>
      <c r="L39" s="94" t="s">
        <v>28</v>
      </c>
      <c r="M39" s="89"/>
      <c r="N39" s="90"/>
      <c r="O39" s="91"/>
      <c r="T39" s="81"/>
    </row>
    <row r="40" spans="2:20" x14ac:dyDescent="0.25">
      <c r="D40" s="59" t="s">
        <v>106</v>
      </c>
      <c r="E40" s="31"/>
      <c r="F40" s="60"/>
      <c r="G40" s="95" t="s">
        <v>8</v>
      </c>
      <c r="H40" s="95" t="s">
        <v>27</v>
      </c>
      <c r="I40" s="59"/>
      <c r="J40" s="37" t="s">
        <v>108</v>
      </c>
      <c r="K40" s="60"/>
      <c r="L40" s="59" t="s">
        <v>113</v>
      </c>
      <c r="M40" s="59"/>
      <c r="N40" s="37" t="s">
        <v>109</v>
      </c>
      <c r="O40" s="60"/>
      <c r="T40" s="81"/>
    </row>
    <row r="41" spans="2:20" ht="18" x14ac:dyDescent="0.25">
      <c r="D41" s="33"/>
      <c r="E41" s="34"/>
      <c r="F41" s="35"/>
      <c r="G41" s="96"/>
      <c r="H41" s="97" t="s">
        <v>30</v>
      </c>
      <c r="I41" s="33"/>
      <c r="J41" s="98" t="s">
        <v>10</v>
      </c>
      <c r="K41" s="35"/>
      <c r="L41" s="33"/>
      <c r="M41" s="33"/>
      <c r="N41" s="98" t="s">
        <v>10</v>
      </c>
      <c r="O41" s="35"/>
      <c r="T41" s="81"/>
    </row>
    <row r="42" spans="2:20" x14ac:dyDescent="0.25">
      <c r="D42" s="99" t="s">
        <v>114</v>
      </c>
      <c r="E42" s="100"/>
      <c r="F42" s="101"/>
      <c r="G42" s="102">
        <f>'Nhập dữ liệu'!E23</f>
        <v>9</v>
      </c>
      <c r="H42" s="102">
        <f>'Nhập dữ liệu'!F23</f>
        <v>20</v>
      </c>
      <c r="I42" s="99"/>
      <c r="J42" s="103">
        <f>G42*H42/1000</f>
        <v>0.18</v>
      </c>
      <c r="K42" s="101"/>
      <c r="L42" s="104">
        <f>'Nhập dữ liệu'!G23</f>
        <v>1.1000000000000001</v>
      </c>
      <c r="M42" s="99"/>
      <c r="N42" s="103">
        <f>J42*L42</f>
        <v>0.19800000000000001</v>
      </c>
      <c r="O42" s="101"/>
      <c r="T42" s="81"/>
    </row>
    <row r="43" spans="2:20" x14ac:dyDescent="0.25">
      <c r="D43" s="99" t="s">
        <v>110</v>
      </c>
      <c r="E43" s="100"/>
      <c r="F43" s="101"/>
      <c r="G43" s="102">
        <f>'Nhập dữ liệu'!E24</f>
        <v>30</v>
      </c>
      <c r="H43" s="102">
        <f>'Nhập dữ liệu'!F24</f>
        <v>18</v>
      </c>
      <c r="I43" s="99"/>
      <c r="J43" s="103">
        <f>G43*H43/1000</f>
        <v>0.54</v>
      </c>
      <c r="K43" s="101"/>
      <c r="L43" s="104">
        <f>'Nhập dữ liệu'!G24</f>
        <v>1.3</v>
      </c>
      <c r="M43" s="99"/>
      <c r="N43" s="103">
        <f>J43*L43</f>
        <v>0.70200000000000007</v>
      </c>
      <c r="O43" s="101"/>
      <c r="T43" s="81"/>
    </row>
    <row r="44" spans="2:20" x14ac:dyDescent="0.25">
      <c r="D44" s="99" t="s">
        <v>111</v>
      </c>
      <c r="E44" s="100"/>
      <c r="F44" s="101"/>
      <c r="G44" s="102">
        <f>M5</f>
        <v>80</v>
      </c>
      <c r="H44" s="102">
        <f>'Nhập dữ liệu'!F25</f>
        <v>25</v>
      </c>
      <c r="I44" s="99"/>
      <c r="J44" s="103">
        <f>G44*H44/1000</f>
        <v>2</v>
      </c>
      <c r="K44" s="101"/>
      <c r="L44" s="104">
        <f>'Nhập dữ liệu'!G25</f>
        <v>1.1000000000000001</v>
      </c>
      <c r="M44" s="99"/>
      <c r="N44" s="103">
        <f>J44*L44</f>
        <v>2.2000000000000002</v>
      </c>
      <c r="O44" s="101"/>
      <c r="T44" s="81"/>
    </row>
    <row r="45" spans="2:20" x14ac:dyDescent="0.25">
      <c r="D45" s="99" t="s">
        <v>34</v>
      </c>
      <c r="E45" s="100"/>
      <c r="F45" s="101"/>
      <c r="G45" s="102">
        <f>'Nhập dữ liệu'!E26</f>
        <v>15</v>
      </c>
      <c r="H45" s="102">
        <f>'Nhập dữ liệu'!F26</f>
        <v>18</v>
      </c>
      <c r="I45" s="99"/>
      <c r="J45" s="103">
        <f>G45*H45/1000</f>
        <v>0.27</v>
      </c>
      <c r="K45" s="101"/>
      <c r="L45" s="104">
        <f>'Nhập dữ liệu'!G26</f>
        <v>1.3</v>
      </c>
      <c r="M45" s="99"/>
      <c r="N45" s="103">
        <f>J45*L45</f>
        <v>0.35100000000000003</v>
      </c>
      <c r="O45" s="101"/>
      <c r="T45" s="81"/>
    </row>
    <row r="46" spans="2:20" x14ac:dyDescent="0.25">
      <c r="D46" s="99"/>
      <c r="E46" s="100" t="s">
        <v>35</v>
      </c>
      <c r="F46" s="101"/>
      <c r="G46" s="102">
        <f>SUM(G42:G45)</f>
        <v>134</v>
      </c>
      <c r="H46" s="102"/>
      <c r="I46" s="99"/>
      <c r="J46" s="103">
        <f>SUM(J42:J45)</f>
        <v>2.9899999999999998</v>
      </c>
      <c r="K46" s="101"/>
      <c r="L46" s="99"/>
      <c r="M46" s="99"/>
      <c r="N46" s="103">
        <f>SUM(N42:N45)</f>
        <v>3.4510000000000005</v>
      </c>
      <c r="O46" s="101"/>
      <c r="T46" s="81"/>
    </row>
    <row r="48" spans="2:20" ht="19.5" x14ac:dyDescent="0.35">
      <c r="D48" s="27" t="s">
        <v>622</v>
      </c>
      <c r="E48" s="72" t="s">
        <v>115</v>
      </c>
      <c r="F48" s="108">
        <f>N46</f>
        <v>3.4510000000000005</v>
      </c>
      <c r="G48" s="37" t="s">
        <v>10</v>
      </c>
    </row>
    <row r="49" spans="2:20" ht="19.5" x14ac:dyDescent="0.25">
      <c r="D49" s="27" t="s">
        <v>116</v>
      </c>
      <c r="E49" s="36" t="s">
        <v>117</v>
      </c>
      <c r="F49" s="36" t="s">
        <v>118</v>
      </c>
      <c r="G49" s="36">
        <f>'Nhập dữ liệu'!G13</f>
        <v>5.5</v>
      </c>
      <c r="H49" s="36" t="s">
        <v>119</v>
      </c>
      <c r="I49" s="36">
        <f>'Nhập dữ liệu'!F15</f>
        <v>1.2</v>
      </c>
      <c r="J49" s="84" t="s">
        <v>76</v>
      </c>
      <c r="K49" s="114">
        <f>G49*I49</f>
        <v>6.6</v>
      </c>
      <c r="L49" s="37" t="s">
        <v>10</v>
      </c>
    </row>
    <row r="50" spans="2:20" ht="19.5" x14ac:dyDescent="0.35">
      <c r="D50" s="27" t="s">
        <v>122</v>
      </c>
      <c r="G50" s="72" t="s">
        <v>121</v>
      </c>
      <c r="I50" s="108">
        <f>F48</f>
        <v>3.4510000000000005</v>
      </c>
      <c r="J50" s="38" t="s">
        <v>123</v>
      </c>
      <c r="K50" s="108">
        <f>K49</f>
        <v>6.6</v>
      </c>
      <c r="L50" s="38" t="s">
        <v>76</v>
      </c>
      <c r="M50" s="108">
        <f>I50+K50</f>
        <v>10.051</v>
      </c>
      <c r="N50" s="37" t="s">
        <v>10</v>
      </c>
      <c r="T50" s="81"/>
    </row>
    <row r="51" spans="2:20" ht="19.5" x14ac:dyDescent="0.35">
      <c r="D51" s="27" t="s">
        <v>124</v>
      </c>
      <c r="G51" s="76" t="s">
        <v>125</v>
      </c>
      <c r="H51" s="36">
        <f>G22/1000</f>
        <v>1</v>
      </c>
      <c r="I51" s="27" t="s">
        <v>126</v>
      </c>
    </row>
    <row r="52" spans="2:20" ht="19.5" x14ac:dyDescent="0.35">
      <c r="E52" s="106" t="s">
        <v>127</v>
      </c>
      <c r="F52" s="114">
        <f>M50</f>
        <v>10.051</v>
      </c>
      <c r="G52" s="37" t="s">
        <v>128</v>
      </c>
      <c r="H52" s="36" t="s">
        <v>129</v>
      </c>
      <c r="I52" s="36">
        <f>H51</f>
        <v>1</v>
      </c>
      <c r="J52" s="36" t="s">
        <v>130</v>
      </c>
      <c r="K52" s="108">
        <f>F52*I52</f>
        <v>10.051</v>
      </c>
      <c r="L52" s="37" t="s">
        <v>131</v>
      </c>
    </row>
    <row r="53" spans="2:20" x14ac:dyDescent="0.25">
      <c r="B53" s="30" t="s">
        <v>132</v>
      </c>
      <c r="C53" s="30" t="s">
        <v>133</v>
      </c>
    </row>
    <row r="77" spans="3:22" x14ac:dyDescent="0.25">
      <c r="Q77" s="123"/>
      <c r="U77" s="27"/>
      <c r="V77" s="27"/>
    </row>
    <row r="78" spans="3:22" ht="19.5" x14ac:dyDescent="0.25">
      <c r="C78" s="38" t="s">
        <v>134</v>
      </c>
      <c r="I78" s="107">
        <v>2</v>
      </c>
      <c r="Q78" s="123"/>
      <c r="U78" s="27"/>
      <c r="V78" s="27"/>
    </row>
    <row r="79" spans="3:22" x14ac:dyDescent="0.25">
      <c r="G79" s="108">
        <f>M50</f>
        <v>10.051</v>
      </c>
      <c r="H79" s="110" t="s">
        <v>119</v>
      </c>
      <c r="I79" s="27">
        <f>M26</f>
        <v>2.3625000000000003</v>
      </c>
      <c r="Q79" s="123"/>
      <c r="U79" s="27"/>
      <c r="V79" s="27"/>
    </row>
    <row r="80" spans="3:22" x14ac:dyDescent="0.25">
      <c r="D80" s="83"/>
      <c r="G80" s="38" t="s">
        <v>135</v>
      </c>
      <c r="J80" s="390" t="s">
        <v>571</v>
      </c>
      <c r="K80" s="108">
        <f>G79*I79*I79/H81</f>
        <v>5.0998831107954556</v>
      </c>
      <c r="L80" s="27" t="s">
        <v>136</v>
      </c>
      <c r="Q80" s="123"/>
      <c r="U80" s="27"/>
      <c r="V80" s="27"/>
    </row>
    <row r="81" spans="2:22" x14ac:dyDescent="0.25">
      <c r="H81" s="27">
        <v>11</v>
      </c>
      <c r="J81" s="36"/>
      <c r="U81" s="27"/>
      <c r="V81" s="27"/>
    </row>
    <row r="82" spans="2:22" x14ac:dyDescent="0.25">
      <c r="J82" s="36"/>
      <c r="Q82" s="123"/>
      <c r="U82" s="27"/>
      <c r="V82" s="27"/>
    </row>
    <row r="83" spans="2:22" ht="19.5" x14ac:dyDescent="0.25">
      <c r="C83" s="38" t="s">
        <v>137</v>
      </c>
      <c r="I83" s="107">
        <v>2</v>
      </c>
      <c r="J83" s="36"/>
      <c r="Q83" s="123"/>
      <c r="U83" s="27"/>
      <c r="V83" s="27"/>
    </row>
    <row r="84" spans="2:22" x14ac:dyDescent="0.25">
      <c r="G84" s="108">
        <f>K52</f>
        <v>10.051</v>
      </c>
      <c r="H84" s="110" t="s">
        <v>119</v>
      </c>
      <c r="I84" s="108">
        <f>L29</f>
        <v>2.38</v>
      </c>
      <c r="J84" s="36"/>
      <c r="Q84" s="123"/>
      <c r="U84" s="27"/>
      <c r="V84" s="27"/>
    </row>
    <row r="85" spans="2:22" x14ac:dyDescent="0.25">
      <c r="E85" s="83"/>
      <c r="G85" s="38" t="s">
        <v>135</v>
      </c>
      <c r="J85" s="390" t="s">
        <v>571</v>
      </c>
      <c r="K85" s="108">
        <f>G84*I84*I84/H86</f>
        <v>3.5583052749999999</v>
      </c>
      <c r="L85" s="27" t="s">
        <v>136</v>
      </c>
      <c r="Q85" s="123"/>
      <c r="U85" s="27"/>
      <c r="V85" s="27"/>
    </row>
    <row r="86" spans="2:22" x14ac:dyDescent="0.25">
      <c r="H86" s="27">
        <v>16</v>
      </c>
      <c r="Q86" s="123"/>
      <c r="U86" s="27"/>
      <c r="V86" s="27"/>
    </row>
    <row r="87" spans="2:22" x14ac:dyDescent="0.25">
      <c r="Q87" s="123"/>
      <c r="U87" s="27"/>
      <c r="V87" s="27"/>
    </row>
    <row r="88" spans="2:22" x14ac:dyDescent="0.25">
      <c r="C88" s="38" t="s">
        <v>138</v>
      </c>
      <c r="Q88" s="123"/>
      <c r="U88" s="27"/>
      <c r="V88" s="27"/>
    </row>
    <row r="89" spans="2:22" ht="19.5" x14ac:dyDescent="0.25">
      <c r="D89" s="27" t="s">
        <v>141</v>
      </c>
      <c r="G89" s="27">
        <v>0.4</v>
      </c>
      <c r="H89" s="27" t="s">
        <v>119</v>
      </c>
      <c r="I89" s="108">
        <f>K52</f>
        <v>10.051</v>
      </c>
      <c r="J89" s="27" t="s">
        <v>119</v>
      </c>
      <c r="K89" s="27">
        <f>M26</f>
        <v>2.3625000000000003</v>
      </c>
      <c r="L89" s="38" t="s">
        <v>76</v>
      </c>
      <c r="M89" s="108">
        <f>G89*I89*K89</f>
        <v>9.4981950000000026</v>
      </c>
      <c r="N89" s="27" t="s">
        <v>140</v>
      </c>
      <c r="Q89" s="123"/>
      <c r="U89" s="27"/>
      <c r="V89" s="27"/>
    </row>
    <row r="90" spans="2:22" ht="19.5" x14ac:dyDescent="0.25">
      <c r="D90" s="83"/>
      <c r="E90" s="36" t="s">
        <v>568</v>
      </c>
      <c r="G90" s="27">
        <v>0.6</v>
      </c>
      <c r="H90" s="27" t="s">
        <v>119</v>
      </c>
      <c r="I90" s="108">
        <f>K52</f>
        <v>10.051</v>
      </c>
      <c r="J90" s="27" t="s">
        <v>119</v>
      </c>
      <c r="K90" s="27">
        <f>M26</f>
        <v>2.3625000000000003</v>
      </c>
      <c r="L90" s="38" t="s">
        <v>76</v>
      </c>
      <c r="M90" s="108">
        <f>G90*I90*K90</f>
        <v>14.2472925</v>
      </c>
      <c r="N90" s="27" t="s">
        <v>140</v>
      </c>
    </row>
    <row r="91" spans="2:22" ht="19.5" x14ac:dyDescent="0.25">
      <c r="D91" s="83"/>
      <c r="H91" s="36" t="s">
        <v>142</v>
      </c>
      <c r="J91" s="27">
        <f>0.5</f>
        <v>0.5</v>
      </c>
      <c r="K91" s="105">
        <f>M50</f>
        <v>10.051</v>
      </c>
      <c r="L91" s="27">
        <f>L29</f>
        <v>2.38</v>
      </c>
      <c r="M91" s="38" t="s">
        <v>76</v>
      </c>
      <c r="N91" s="27">
        <f>J91*K91*L91</f>
        <v>11.96069</v>
      </c>
      <c r="O91" s="27" t="s">
        <v>140</v>
      </c>
    </row>
    <row r="93" spans="2:22" x14ac:dyDescent="0.25">
      <c r="B93" s="30" t="s">
        <v>143</v>
      </c>
      <c r="C93" s="30" t="s">
        <v>144</v>
      </c>
    </row>
    <row r="94" spans="2:22" x14ac:dyDescent="0.25">
      <c r="D94" s="27" t="s">
        <v>145</v>
      </c>
      <c r="E94" s="79">
        <v>15</v>
      </c>
      <c r="F94" s="27" t="s">
        <v>146</v>
      </c>
    </row>
    <row r="95" spans="2:22" ht="19.5" x14ac:dyDescent="0.25">
      <c r="E95" s="27" t="s">
        <v>147</v>
      </c>
      <c r="G95" s="36">
        <f>M5</f>
        <v>80</v>
      </c>
      <c r="H95" s="84" t="s">
        <v>99</v>
      </c>
      <c r="I95" s="36">
        <f>E94</f>
        <v>15</v>
      </c>
      <c r="J95" s="84" t="s">
        <v>76</v>
      </c>
      <c r="K95" s="27">
        <f>G95-I95</f>
        <v>65</v>
      </c>
      <c r="L95" s="27" t="s">
        <v>77</v>
      </c>
    </row>
    <row r="96" spans="2:22" x14ac:dyDescent="0.25">
      <c r="C96" s="82" t="s">
        <v>139</v>
      </c>
      <c r="D96" s="30" t="s">
        <v>149</v>
      </c>
      <c r="H96" s="391">
        <f>K80</f>
        <v>5.0998831107954556</v>
      </c>
      <c r="I96" s="30" t="s">
        <v>148</v>
      </c>
    </row>
    <row r="97" spans="4:17" x14ac:dyDescent="0.25">
      <c r="F97" s="109">
        <f>H96</f>
        <v>5.0998831107954556</v>
      </c>
      <c r="G97" s="110" t="s">
        <v>119</v>
      </c>
      <c r="H97" s="27">
        <v>1000000</v>
      </c>
      <c r="I97" s="27" t="s">
        <v>151</v>
      </c>
    </row>
    <row r="98" spans="4:17" x14ac:dyDescent="0.25">
      <c r="E98" s="83"/>
      <c r="F98" s="38" t="s">
        <v>150</v>
      </c>
      <c r="K98" s="108">
        <f>F97*1000000/(F99*G99*H99*H99)</f>
        <v>0.14200857948612478</v>
      </c>
      <c r="L98" s="83"/>
    </row>
    <row r="99" spans="4:17" x14ac:dyDescent="0.25">
      <c r="F99" s="87">
        <f>'Số liệu tính'!E52</f>
        <v>8.5</v>
      </c>
      <c r="G99" s="36">
        <v>1000</v>
      </c>
      <c r="H99" s="87">
        <f>K95</f>
        <v>65</v>
      </c>
      <c r="I99" s="38" t="s">
        <v>152</v>
      </c>
    </row>
    <row r="100" spans="4:17" x14ac:dyDescent="0.25">
      <c r="F100" s="87"/>
      <c r="G100" s="36"/>
      <c r="H100" s="87"/>
      <c r="I100" s="38"/>
    </row>
    <row r="101" spans="4:17" x14ac:dyDescent="0.25">
      <c r="H101" s="111">
        <f>K98</f>
        <v>0.14200857948612478</v>
      </c>
      <c r="I101" s="112" t="s">
        <v>76</v>
      </c>
      <c r="J101" s="108">
        <f>(1+SQRT(1-2*H101))/2</f>
        <v>0.92307884638319793</v>
      </c>
      <c r="P101" s="81"/>
      <c r="Q101" s="81"/>
    </row>
    <row r="102" spans="4:17" x14ac:dyDescent="0.25">
      <c r="D102" s="83"/>
      <c r="H102" s="38"/>
      <c r="P102" s="81"/>
      <c r="Q102" s="81"/>
    </row>
    <row r="103" spans="4:17" x14ac:dyDescent="0.25">
      <c r="P103" s="81"/>
      <c r="Q103" s="81"/>
    </row>
    <row r="104" spans="4:17" x14ac:dyDescent="0.25">
      <c r="D104" s="83"/>
      <c r="F104" s="105">
        <f>H96</f>
        <v>5.0998831107954556</v>
      </c>
      <c r="G104" s="110" t="s">
        <v>119</v>
      </c>
      <c r="H104" s="27">
        <v>1000000</v>
      </c>
    </row>
    <row r="105" spans="4:17" ht="18.75" x14ac:dyDescent="0.25">
      <c r="F105" s="113" t="s">
        <v>153</v>
      </c>
      <c r="K105" s="85">
        <f>(F104*1000000)/(F106*G106*H106)</f>
        <v>377.76833220696119</v>
      </c>
      <c r="L105" s="76" t="s">
        <v>154</v>
      </c>
    </row>
    <row r="106" spans="4:17" x14ac:dyDescent="0.25">
      <c r="F106" s="36">
        <f>'Số liệu tính'!J53</f>
        <v>225</v>
      </c>
      <c r="G106" s="114">
        <f>J101</f>
        <v>0.92307884638319793</v>
      </c>
      <c r="H106" s="36">
        <f>K95</f>
        <v>65</v>
      </c>
    </row>
    <row r="108" spans="4:17" x14ac:dyDescent="0.25">
      <c r="H108" s="85">
        <f>K105</f>
        <v>377.76833220696119</v>
      </c>
    </row>
    <row r="109" spans="4:17" x14ac:dyDescent="0.25">
      <c r="E109" s="83"/>
      <c r="G109" s="38" t="s">
        <v>155</v>
      </c>
      <c r="K109" s="115">
        <f>H108/(G110*I110)</f>
        <v>5.8118204954917107E-3</v>
      </c>
      <c r="L109" s="116" t="str">
        <f>IF(K109&lt;0.003,"{chiều dầy bản quá lớn, hãy giảm chiều dày bản và tính lại}",IF(K109&gt;0.009,"{chiều dày bản quá bé, tăng chiều dày bản và tính lại}",""))</f>
        <v/>
      </c>
    </row>
    <row r="110" spans="4:17" x14ac:dyDescent="0.25">
      <c r="G110" s="36">
        <f>G22</f>
        <v>1000</v>
      </c>
      <c r="H110" s="110" t="s">
        <v>119</v>
      </c>
      <c r="I110" s="36">
        <f>K95</f>
        <v>65</v>
      </c>
    </row>
    <row r="112" spans="4:17" ht="20.25" x14ac:dyDescent="0.35">
      <c r="D112" s="27" t="s">
        <v>156</v>
      </c>
      <c r="G112" s="79">
        <v>6</v>
      </c>
      <c r="H112" s="27" t="s">
        <v>157</v>
      </c>
      <c r="I112" s="76" t="s">
        <v>158</v>
      </c>
      <c r="J112" s="27">
        <f>IF(G112=6,28.3,IF(G112=8,50.3,IF(G112=10,78.5,"chọn lại đường kính")))</f>
        <v>28.3</v>
      </c>
      <c r="K112" s="76" t="s">
        <v>154</v>
      </c>
    </row>
    <row r="113" spans="3:21" x14ac:dyDescent="0.25">
      <c r="D113" s="27" t="s">
        <v>159</v>
      </c>
    </row>
    <row r="115" spans="3:21" x14ac:dyDescent="0.25">
      <c r="E115" s="83"/>
      <c r="G115" s="87" t="s">
        <v>160</v>
      </c>
      <c r="H115" s="27">
        <f>G22</f>
        <v>1000</v>
      </c>
      <c r="I115" s="110" t="s">
        <v>119</v>
      </c>
      <c r="J115" s="36">
        <f>J112</f>
        <v>28.3</v>
      </c>
      <c r="K115" s="27" t="s">
        <v>161</v>
      </c>
    </row>
    <row r="116" spans="3:21" x14ac:dyDescent="0.25">
      <c r="G116" s="38" t="s">
        <v>603</v>
      </c>
      <c r="L116" s="117">
        <f>H115*J115/I117</f>
        <v>74.913637770187108</v>
      </c>
      <c r="M116" s="27" t="s">
        <v>26</v>
      </c>
      <c r="U116" s="125">
        <f>INT(L116)</f>
        <v>74</v>
      </c>
    </row>
    <row r="117" spans="3:21" x14ac:dyDescent="0.25">
      <c r="I117" s="85">
        <f>K105</f>
        <v>377.76833220696119</v>
      </c>
    </row>
    <row r="119" spans="3:21" ht="20.100000000000001" customHeight="1" x14ac:dyDescent="0.25">
      <c r="C119" s="82" t="s">
        <v>165</v>
      </c>
      <c r="D119" s="30" t="s">
        <v>163</v>
      </c>
      <c r="E119" s="30">
        <f>G112</f>
        <v>6</v>
      </c>
      <c r="F119" s="32" t="s">
        <v>164</v>
      </c>
      <c r="G119" s="30">
        <f>10*(INT(U116/10))</f>
        <v>70</v>
      </c>
      <c r="H119" s="30" t="s">
        <v>26</v>
      </c>
      <c r="L119" s="116" t="str">
        <f>IF(G119&lt;70,"{Khoảng cách s quá bé, nên chọn lại đường kính cốt thép}",IF(G119&gt;200,"{Khoảng cách s quá lớn, nên chọn lại đường kính cốt thép}",""))</f>
        <v/>
      </c>
    </row>
    <row r="121" spans="3:21" x14ac:dyDescent="0.25">
      <c r="C121" s="82" t="s">
        <v>139</v>
      </c>
      <c r="D121" s="30" t="s">
        <v>166</v>
      </c>
      <c r="H121" s="391">
        <f>K85</f>
        <v>3.5583052749999999</v>
      </c>
      <c r="I121" s="30" t="s">
        <v>148</v>
      </c>
    </row>
    <row r="122" spans="3:21" x14ac:dyDescent="0.25">
      <c r="F122" s="109">
        <f>H121</f>
        <v>3.5583052749999999</v>
      </c>
      <c r="G122" s="110" t="s">
        <v>119</v>
      </c>
      <c r="H122" s="27">
        <v>1000000</v>
      </c>
      <c r="I122" s="27" t="s">
        <v>151</v>
      </c>
    </row>
    <row r="123" spans="3:21" x14ac:dyDescent="0.25">
      <c r="E123" s="83"/>
      <c r="F123" s="38" t="s">
        <v>150</v>
      </c>
      <c r="K123" s="108">
        <f>F122*1000000/(F124*G124*H124*H124)</f>
        <v>9.9082639053254429E-2</v>
      </c>
      <c r="L123" s="83"/>
    </row>
    <row r="124" spans="3:21" x14ac:dyDescent="0.25">
      <c r="F124" s="87">
        <f>'Số liệu tính'!E52</f>
        <v>8.5</v>
      </c>
      <c r="G124" s="36">
        <v>1000</v>
      </c>
      <c r="H124" s="87">
        <f>K95</f>
        <v>65</v>
      </c>
      <c r="I124" s="38" t="s">
        <v>152</v>
      </c>
    </row>
    <row r="125" spans="3:21" x14ac:dyDescent="0.25">
      <c r="F125" s="87"/>
      <c r="G125" s="36"/>
      <c r="H125" s="87"/>
      <c r="I125" s="38"/>
    </row>
    <row r="126" spans="3:21" x14ac:dyDescent="0.25">
      <c r="H126" s="111">
        <f>K123</f>
        <v>9.9082639053254429E-2</v>
      </c>
      <c r="I126" s="112" t="s">
        <v>76</v>
      </c>
      <c r="J126" s="108">
        <f>(1+SQRT(1-2*H126))/2</f>
        <v>0.94772612216998553</v>
      </c>
    </row>
    <row r="127" spans="3:21" x14ac:dyDescent="0.25">
      <c r="D127" s="83"/>
      <c r="H127" s="38"/>
    </row>
    <row r="129" spans="3:21" x14ac:dyDescent="0.25">
      <c r="D129" s="83"/>
      <c r="F129" s="105">
        <f>H121</f>
        <v>3.5583052749999999</v>
      </c>
      <c r="G129" s="110" t="s">
        <v>119</v>
      </c>
      <c r="H129" s="27">
        <v>1000000</v>
      </c>
      <c r="I129" s="27" t="s">
        <v>151</v>
      </c>
    </row>
    <row r="130" spans="3:21" ht="18.75" x14ac:dyDescent="0.25">
      <c r="F130" s="113" t="s">
        <v>153</v>
      </c>
      <c r="K130" s="85">
        <f>(F129*1000000)/(F131*G131*H131)</f>
        <v>256.72282223184897</v>
      </c>
      <c r="L130" s="76" t="s">
        <v>154</v>
      </c>
    </row>
    <row r="131" spans="3:21" x14ac:dyDescent="0.25">
      <c r="F131" s="36">
        <f>'Số liệu tính'!J53</f>
        <v>225</v>
      </c>
      <c r="G131" s="114">
        <f>J126</f>
        <v>0.94772612216998553</v>
      </c>
      <c r="H131" s="36">
        <f>K95</f>
        <v>65</v>
      </c>
    </row>
    <row r="133" spans="3:21" x14ac:dyDescent="0.25">
      <c r="H133" s="85">
        <f>K130</f>
        <v>256.72282223184897</v>
      </c>
    </row>
    <row r="134" spans="3:21" x14ac:dyDescent="0.25">
      <c r="E134" s="83"/>
      <c r="G134" s="38" t="s">
        <v>155</v>
      </c>
      <c r="K134" s="115">
        <f>H133/(G135*I135)</f>
        <v>3.9495818804899845E-3</v>
      </c>
      <c r="L134" s="116" t="str">
        <f>IF(K134&lt;0.003,"{chiều dày bản quá lớn, hãy giảm chiều dày bản và tính lại}",IF(K134&gt;0.009,"{chiều dày bản quá bé, tăng chiều dày bản và tính lại}",""))</f>
        <v/>
      </c>
    </row>
    <row r="135" spans="3:21" x14ac:dyDescent="0.25">
      <c r="G135" s="36">
        <f>G22</f>
        <v>1000</v>
      </c>
      <c r="H135" s="110" t="s">
        <v>119</v>
      </c>
      <c r="I135" s="36">
        <f>K95</f>
        <v>65</v>
      </c>
    </row>
    <row r="137" spans="3:21" ht="20.25" x14ac:dyDescent="0.35">
      <c r="D137" s="27" t="s">
        <v>156</v>
      </c>
      <c r="G137" s="79">
        <v>6</v>
      </c>
      <c r="H137" s="27" t="s">
        <v>157</v>
      </c>
      <c r="I137" s="76" t="s">
        <v>158</v>
      </c>
      <c r="J137" s="27">
        <f>IF(G137=6,28.3,IF(G137=8,50.3,IF(G137=10,78.5,"chọn lại đường kính")))</f>
        <v>28.3</v>
      </c>
      <c r="K137" s="76" t="s">
        <v>154</v>
      </c>
    </row>
    <row r="138" spans="3:21" x14ac:dyDescent="0.25">
      <c r="D138" s="27" t="s">
        <v>159</v>
      </c>
    </row>
    <row r="140" spans="3:21" x14ac:dyDescent="0.25">
      <c r="E140" s="83"/>
      <c r="G140" s="87" t="s">
        <v>160</v>
      </c>
      <c r="H140" s="27">
        <f>G22</f>
        <v>1000</v>
      </c>
      <c r="I140" s="110" t="s">
        <v>119</v>
      </c>
      <c r="J140" s="36">
        <f>J137</f>
        <v>28.3</v>
      </c>
      <c r="K140" s="27" t="s">
        <v>161</v>
      </c>
    </row>
    <row r="141" spans="3:21" x14ac:dyDescent="0.25">
      <c r="G141" s="38" t="s">
        <v>162</v>
      </c>
      <c r="L141" s="117">
        <f>H140*J140/I142</f>
        <v>110.23562203769319</v>
      </c>
      <c r="M141" s="27" t="s">
        <v>26</v>
      </c>
      <c r="U141" s="125">
        <f>INT(L141)</f>
        <v>110</v>
      </c>
    </row>
    <row r="142" spans="3:21" x14ac:dyDescent="0.25">
      <c r="I142" s="85">
        <f>K130</f>
        <v>256.72282223184897</v>
      </c>
    </row>
    <row r="144" spans="3:21" x14ac:dyDescent="0.25">
      <c r="C144" s="82" t="s">
        <v>165</v>
      </c>
      <c r="D144" s="30" t="s">
        <v>163</v>
      </c>
      <c r="E144" s="30">
        <f>G137</f>
        <v>6</v>
      </c>
      <c r="F144" s="32" t="s">
        <v>164</v>
      </c>
      <c r="G144" s="30">
        <f>10*(INT(U141/10))</f>
        <v>110</v>
      </c>
      <c r="H144" s="30" t="s">
        <v>26</v>
      </c>
      <c r="L144" s="116" t="str">
        <f>IF(G144&lt;70,"{Khoảng cách s quá bé, nên chọn lại đường kính cốt thép}",IF(G144&gt;200,"{Khoảng cách s quá lớn, nên chọn lại đường kính cốt thép}",""))</f>
        <v/>
      </c>
    </row>
    <row r="145" spans="3:21" x14ac:dyDescent="0.25">
      <c r="C145" s="82" t="s">
        <v>139</v>
      </c>
      <c r="D145" s="30" t="s">
        <v>167</v>
      </c>
    </row>
    <row r="147" spans="3:21" ht="18" x14ac:dyDescent="0.2">
      <c r="D147" s="76"/>
      <c r="E147" s="87" t="s">
        <v>168</v>
      </c>
      <c r="F147" s="118">
        <f>K130</f>
        <v>256.72282223184897</v>
      </c>
      <c r="G147" s="38" t="s">
        <v>76</v>
      </c>
      <c r="H147" s="85">
        <f>0.8*F147</f>
        <v>205.37825778547918</v>
      </c>
      <c r="I147" s="76" t="s">
        <v>154</v>
      </c>
    </row>
    <row r="148" spans="3:21" x14ac:dyDescent="0.25">
      <c r="F148" s="118"/>
      <c r="G148" s="118">
        <f>H147</f>
        <v>205.37825778547918</v>
      </c>
    </row>
    <row r="149" spans="3:21" x14ac:dyDescent="0.25">
      <c r="E149" s="119" t="s">
        <v>169</v>
      </c>
      <c r="F149" s="38" t="s">
        <v>170</v>
      </c>
      <c r="I149" s="120">
        <v>1</v>
      </c>
      <c r="J149" s="38" t="s">
        <v>76</v>
      </c>
      <c r="K149" s="115">
        <f>G148/(F150*H150)</f>
        <v>3.1596655043919872E-3</v>
      </c>
    </row>
    <row r="150" spans="3:21" x14ac:dyDescent="0.25">
      <c r="F150" s="27">
        <f>G22</f>
        <v>1000</v>
      </c>
      <c r="G150" s="110" t="s">
        <v>119</v>
      </c>
      <c r="H150" s="27">
        <f>K95</f>
        <v>65</v>
      </c>
    </row>
    <row r="152" spans="3:21" x14ac:dyDescent="0.25">
      <c r="D152" s="27" t="s">
        <v>171</v>
      </c>
      <c r="E152" s="79">
        <v>6</v>
      </c>
      <c r="F152" s="27" t="s">
        <v>26</v>
      </c>
      <c r="G152" s="38" t="s">
        <v>172</v>
      </c>
      <c r="H152" s="121">
        <f>IF(E152=6,(G22*28.3/H147),IF(E152=8,(G22*50.3/H147),IF(E152=10,(G22*78.5/H147))))</f>
        <v>137.79452754711647</v>
      </c>
      <c r="U152" s="125">
        <f>INT(H152)</f>
        <v>137</v>
      </c>
    </row>
    <row r="154" spans="3:21" x14ac:dyDescent="0.25">
      <c r="C154" s="82" t="s">
        <v>165</v>
      </c>
      <c r="D154" s="30" t="s">
        <v>163</v>
      </c>
      <c r="E154" s="30">
        <f>E152</f>
        <v>6</v>
      </c>
      <c r="F154" s="32" t="s">
        <v>164</v>
      </c>
      <c r="G154" s="30">
        <f>10*INT(U152/10)</f>
        <v>130</v>
      </c>
      <c r="H154" s="30" t="s">
        <v>26</v>
      </c>
      <c r="L154" s="116" t="str">
        <f>IF(G154&lt;70,"{khoảng cách s quá bé, nên chọn lại đường kính cốt thép}",IF(G154&gt;200,"khoảng cách s quá lớn, nên chọn lại đường kính cốt thép}",""))</f>
        <v/>
      </c>
    </row>
    <row r="155" spans="3:21" x14ac:dyDescent="0.25">
      <c r="C155" s="82"/>
      <c r="D155" s="30"/>
      <c r="E155" s="30"/>
      <c r="F155" s="32"/>
      <c r="G155" s="30"/>
      <c r="H155" s="30"/>
      <c r="L155" s="116"/>
    </row>
    <row r="156" spans="3:21" x14ac:dyDescent="0.25">
      <c r="C156" s="82"/>
      <c r="D156" s="30"/>
      <c r="E156" s="30"/>
      <c r="F156" s="32"/>
      <c r="G156" s="30"/>
      <c r="H156" s="30"/>
      <c r="L156" s="116"/>
    </row>
    <row r="157" spans="3:21" x14ac:dyDescent="0.25">
      <c r="C157" s="82"/>
      <c r="D157" s="30"/>
      <c r="E157" s="30"/>
      <c r="F157" s="32"/>
      <c r="G157" s="30"/>
      <c r="H157" s="30"/>
      <c r="L157" s="116"/>
    </row>
    <row r="158" spans="3:21" x14ac:dyDescent="0.25">
      <c r="C158" s="82"/>
      <c r="D158" s="30"/>
      <c r="E158" s="30"/>
      <c r="F158" s="32"/>
      <c r="G158" s="30"/>
      <c r="H158" s="30"/>
      <c r="L158" s="116"/>
    </row>
    <row r="159" spans="3:21" x14ac:dyDescent="0.25">
      <c r="C159" s="82"/>
      <c r="D159" s="30"/>
      <c r="E159" s="30"/>
      <c r="F159" s="32"/>
      <c r="G159" s="30"/>
      <c r="H159" s="30"/>
      <c r="L159" s="116"/>
    </row>
    <row r="160" spans="3:21" x14ac:dyDescent="0.25">
      <c r="C160" s="82"/>
      <c r="D160" s="30"/>
      <c r="E160" s="30"/>
      <c r="F160" s="32"/>
      <c r="G160" s="30"/>
      <c r="H160" s="30"/>
      <c r="L160" s="116"/>
    </row>
    <row r="161" spans="3:12" x14ac:dyDescent="0.25">
      <c r="C161" s="82"/>
      <c r="D161" s="30"/>
      <c r="E161" s="30"/>
      <c r="F161" s="32"/>
      <c r="G161" s="30"/>
      <c r="H161" s="30"/>
      <c r="L161" s="116"/>
    </row>
    <row r="162" spans="3:12" x14ac:dyDescent="0.25">
      <c r="C162" s="82"/>
      <c r="D162" s="30"/>
      <c r="E162" s="30"/>
      <c r="F162" s="32"/>
      <c r="G162" s="30"/>
      <c r="H162" s="30"/>
      <c r="L162" s="116"/>
    </row>
    <row r="163" spans="3:12" x14ac:dyDescent="0.25">
      <c r="C163" s="82"/>
      <c r="D163" s="30"/>
      <c r="E163" s="30"/>
      <c r="F163" s="32"/>
      <c r="G163" s="30"/>
      <c r="H163" s="30"/>
      <c r="L163" s="116"/>
    </row>
    <row r="164" spans="3:12" x14ac:dyDescent="0.25">
      <c r="C164" s="82"/>
      <c r="D164" s="30"/>
      <c r="E164" s="30"/>
      <c r="F164" s="32"/>
      <c r="G164" s="30"/>
      <c r="H164" s="30"/>
      <c r="L164" s="116"/>
    </row>
    <row r="165" spans="3:12" x14ac:dyDescent="0.25">
      <c r="C165" s="82"/>
      <c r="D165" s="30"/>
      <c r="E165" s="30"/>
      <c r="F165" s="32"/>
      <c r="G165" s="30"/>
      <c r="H165" s="30"/>
      <c r="L165" s="116"/>
    </row>
    <row r="166" spans="3:12" x14ac:dyDescent="0.25">
      <c r="C166" s="82"/>
      <c r="D166" s="30"/>
      <c r="E166" s="30"/>
      <c r="F166" s="32"/>
      <c r="G166" s="30"/>
      <c r="H166" s="30"/>
      <c r="L166" s="116"/>
    </row>
    <row r="167" spans="3:12" x14ac:dyDescent="0.25">
      <c r="C167" s="82"/>
      <c r="D167" s="30"/>
      <c r="E167" s="30"/>
      <c r="F167" s="32"/>
      <c r="G167" s="30"/>
      <c r="H167" s="30"/>
      <c r="L167" s="116"/>
    </row>
    <row r="168" spans="3:12" x14ac:dyDescent="0.25">
      <c r="C168" s="82"/>
      <c r="D168" s="30"/>
      <c r="E168" s="30"/>
      <c r="F168" s="32"/>
      <c r="G168" s="30"/>
      <c r="H168" s="30"/>
      <c r="L168" s="116"/>
    </row>
    <row r="169" spans="3:12" x14ac:dyDescent="0.25">
      <c r="C169" s="82"/>
      <c r="D169" s="30"/>
      <c r="E169" s="30"/>
      <c r="F169" s="32"/>
      <c r="G169" s="30"/>
      <c r="H169" s="30"/>
      <c r="L169" s="116"/>
    </row>
    <row r="170" spans="3:12" x14ac:dyDescent="0.25">
      <c r="C170" s="82"/>
      <c r="D170" s="30"/>
      <c r="E170" s="30"/>
      <c r="F170" s="32"/>
      <c r="G170" s="30"/>
      <c r="H170" s="30"/>
      <c r="L170" s="116"/>
    </row>
    <row r="171" spans="3:12" x14ac:dyDescent="0.25">
      <c r="C171" s="82"/>
      <c r="D171" s="30"/>
      <c r="E171" s="30"/>
      <c r="F171" s="32"/>
      <c r="G171" s="30"/>
      <c r="H171" s="30"/>
      <c r="L171" s="116"/>
    </row>
    <row r="172" spans="3:12" x14ac:dyDescent="0.25">
      <c r="C172" s="82"/>
      <c r="D172" s="30"/>
      <c r="E172" s="30"/>
      <c r="F172" s="32"/>
      <c r="G172" s="30"/>
      <c r="H172" s="30"/>
      <c r="L172" s="116"/>
    </row>
    <row r="173" spans="3:12" x14ac:dyDescent="0.25">
      <c r="C173" s="82"/>
      <c r="D173" s="30"/>
      <c r="E173" s="30"/>
      <c r="F173" s="32"/>
      <c r="G173" s="30"/>
      <c r="H173" s="30"/>
      <c r="L173" s="116"/>
    </row>
    <row r="174" spans="3:12" x14ac:dyDescent="0.25">
      <c r="C174" s="82"/>
      <c r="D174" s="30"/>
      <c r="E174" s="30"/>
      <c r="F174" s="32"/>
      <c r="G174" s="30"/>
      <c r="H174" s="30"/>
      <c r="L174" s="116"/>
    </row>
    <row r="175" spans="3:12" x14ac:dyDescent="0.25">
      <c r="C175" s="82"/>
      <c r="D175" s="30"/>
      <c r="E175" s="30"/>
      <c r="F175" s="32"/>
      <c r="G175" s="30"/>
      <c r="H175" s="30"/>
      <c r="L175" s="116"/>
    </row>
    <row r="176" spans="3:12" x14ac:dyDescent="0.25">
      <c r="C176" s="82"/>
      <c r="D176" s="30"/>
      <c r="E176" s="30"/>
      <c r="F176" s="32"/>
      <c r="G176" s="30"/>
      <c r="H176" s="30"/>
      <c r="L176" s="116"/>
    </row>
    <row r="177" spans="3:24" x14ac:dyDescent="0.25">
      <c r="C177" s="82"/>
      <c r="D177" s="30"/>
      <c r="E177" s="30"/>
      <c r="F177" s="32"/>
      <c r="G177" s="30"/>
      <c r="H177" s="30"/>
      <c r="L177" s="116"/>
    </row>
    <row r="178" spans="3:24" x14ac:dyDescent="0.25">
      <c r="C178" s="82"/>
      <c r="D178" s="30"/>
      <c r="E178" s="30"/>
      <c r="F178" s="32"/>
      <c r="G178" s="30"/>
      <c r="H178" s="30"/>
      <c r="L178" s="116"/>
    </row>
    <row r="179" spans="3:24" x14ac:dyDescent="0.25">
      <c r="C179" s="82"/>
      <c r="D179" s="30"/>
      <c r="E179" s="30"/>
      <c r="F179" s="32"/>
      <c r="G179" s="30"/>
      <c r="H179" s="30"/>
      <c r="L179" s="116"/>
    </row>
    <row r="180" spans="3:24" x14ac:dyDescent="0.25">
      <c r="C180" s="82"/>
      <c r="D180" s="30"/>
      <c r="E180" s="30"/>
      <c r="F180" s="32"/>
      <c r="G180" s="30"/>
      <c r="H180" s="30"/>
      <c r="L180" s="116"/>
    </row>
    <row r="181" spans="3:24" x14ac:dyDescent="0.25">
      <c r="C181" s="82"/>
      <c r="D181" s="30"/>
      <c r="E181" s="30"/>
      <c r="F181" s="32"/>
      <c r="G181" s="30"/>
      <c r="H181" s="30"/>
      <c r="L181" s="116"/>
    </row>
    <row r="183" spans="3:24" x14ac:dyDescent="0.25">
      <c r="C183" s="82" t="s">
        <v>139</v>
      </c>
      <c r="D183" s="30" t="s">
        <v>173</v>
      </c>
    </row>
    <row r="184" spans="3:24" ht="19.5" x14ac:dyDescent="0.25">
      <c r="D184" s="27" t="s">
        <v>175</v>
      </c>
      <c r="F184" s="24">
        <v>10</v>
      </c>
      <c r="G184" s="27" t="s">
        <v>176</v>
      </c>
      <c r="H184" s="27" t="s">
        <v>174</v>
      </c>
      <c r="K184" s="87">
        <f>M5</f>
        <v>80</v>
      </c>
      <c r="L184" s="84" t="s">
        <v>99</v>
      </c>
      <c r="M184" s="27">
        <f>F184</f>
        <v>10</v>
      </c>
      <c r="N184" s="38" t="s">
        <v>99</v>
      </c>
      <c r="O184" s="27" t="s">
        <v>177</v>
      </c>
      <c r="P184" s="27">
        <f>MAX(G112,G137,E152)</f>
        <v>6</v>
      </c>
      <c r="Q184" s="38" t="s">
        <v>76</v>
      </c>
      <c r="R184" s="27">
        <f>K184-M184-0.5*P184</f>
        <v>67</v>
      </c>
      <c r="S184" s="27" t="s">
        <v>77</v>
      </c>
      <c r="T184" s="116" t="str">
        <f>IF(R184&lt;K95,"{thiếu an toàn, giảm lớp bảo vệ đi}","")</f>
        <v/>
      </c>
      <c r="X184" s="81"/>
    </row>
    <row r="185" spans="3:24" ht="19.5" x14ac:dyDescent="0.35">
      <c r="D185" s="27" t="s">
        <v>178</v>
      </c>
      <c r="I185" s="76" t="s">
        <v>179</v>
      </c>
      <c r="J185" s="27">
        <f>K95</f>
        <v>65</v>
      </c>
      <c r="K185" s="27" t="s">
        <v>26</v>
      </c>
      <c r="L185" s="27" t="str">
        <f>IF(T184="","là thiên về an toàn","là không đảm bảo an toàn")</f>
        <v>là thiên về an toàn</v>
      </c>
    </row>
    <row r="186" spans="3:24" ht="19.5" x14ac:dyDescent="0.35">
      <c r="C186" s="82" t="s">
        <v>139</v>
      </c>
      <c r="D186" s="30" t="s">
        <v>180</v>
      </c>
      <c r="M186" s="76" t="s">
        <v>181</v>
      </c>
    </row>
    <row r="187" spans="3:24" ht="19.5" x14ac:dyDescent="0.35">
      <c r="D187" s="27" t="s">
        <v>182</v>
      </c>
      <c r="E187" s="76" t="s">
        <v>183</v>
      </c>
      <c r="F187" s="87">
        <f>K49</f>
        <v>6.6</v>
      </c>
      <c r="G187" s="84" t="s">
        <v>184</v>
      </c>
      <c r="H187" s="105">
        <f>F48</f>
        <v>3.4510000000000005</v>
      </c>
      <c r="I187" s="84" t="s">
        <v>76</v>
      </c>
      <c r="J187" s="108">
        <f>F187/H187</f>
        <v>1.9124891335844678</v>
      </c>
      <c r="K187" s="27" t="str">
        <f>IF(J187&lt;3,"&lt; 3",IF(J187=3,"= 3","&gt; 3"))</f>
        <v>&lt; 3</v>
      </c>
      <c r="L187" s="27" t="s">
        <v>185</v>
      </c>
      <c r="M187" s="122">
        <f>IF(K187="&lt; 3",1/4,1/3)</f>
        <v>0.25</v>
      </c>
    </row>
    <row r="188" spans="3:24" x14ac:dyDescent="0.25">
      <c r="D188" s="27" t="s">
        <v>186</v>
      </c>
    </row>
    <row r="189" spans="3:24" ht="19.5" x14ac:dyDescent="0.35">
      <c r="D189" s="112" t="s">
        <v>187</v>
      </c>
      <c r="E189" s="27" t="s">
        <v>188</v>
      </c>
      <c r="H189" s="76" t="s">
        <v>181</v>
      </c>
      <c r="I189" s="38" t="s">
        <v>76</v>
      </c>
      <c r="J189" s="122">
        <f>M187</f>
        <v>0.25</v>
      </c>
      <c r="K189" s="27" t="s">
        <v>119</v>
      </c>
      <c r="L189" s="27">
        <f>L29</f>
        <v>2.38</v>
      </c>
      <c r="M189" s="27" t="s">
        <v>76</v>
      </c>
      <c r="N189" s="108">
        <f>J189*L189</f>
        <v>0.59499999999999997</v>
      </c>
      <c r="O189" s="27" t="s">
        <v>46</v>
      </c>
    </row>
    <row r="190" spans="3:24" ht="19.5" x14ac:dyDescent="0.25">
      <c r="D190" s="112" t="s">
        <v>187</v>
      </c>
      <c r="E190" s="27" t="s">
        <v>189</v>
      </c>
      <c r="H190" s="27" t="s">
        <v>190</v>
      </c>
      <c r="J190" s="108">
        <f>N189</f>
        <v>0.59499999999999997</v>
      </c>
      <c r="K190" s="38" t="s">
        <v>191</v>
      </c>
      <c r="L190" s="27">
        <f>Q11/1000</f>
        <v>0.22</v>
      </c>
      <c r="M190" s="38" t="s">
        <v>76</v>
      </c>
      <c r="N190" s="27">
        <f>J190+L190/2</f>
        <v>0.70499999999999996</v>
      </c>
      <c r="O190" s="27" t="s">
        <v>50</v>
      </c>
    </row>
    <row r="191" spans="3:24" x14ac:dyDescent="0.25">
      <c r="C191" s="38"/>
      <c r="D191" s="27" t="s">
        <v>192</v>
      </c>
    </row>
    <row r="192" spans="3:24" x14ac:dyDescent="0.25">
      <c r="D192" s="112" t="s">
        <v>187</v>
      </c>
      <c r="E192" s="27" t="s">
        <v>188</v>
      </c>
      <c r="H192" s="83"/>
      <c r="I192" s="98">
        <f>L29</f>
        <v>2.38</v>
      </c>
      <c r="J192" s="112" t="s">
        <v>76</v>
      </c>
      <c r="K192" s="105">
        <f>I192/I193</f>
        <v>0.39666666666666667</v>
      </c>
      <c r="L192" s="27" t="s">
        <v>46</v>
      </c>
      <c r="S192" s="81"/>
      <c r="T192" s="81"/>
    </row>
    <row r="193" spans="2:20" x14ac:dyDescent="0.25">
      <c r="I193" s="36">
        <v>6</v>
      </c>
      <c r="S193" s="81"/>
      <c r="T193" s="81"/>
    </row>
    <row r="194" spans="2:20" x14ac:dyDescent="0.25">
      <c r="D194" s="112" t="s">
        <v>187</v>
      </c>
      <c r="E194" s="27" t="s">
        <v>189</v>
      </c>
      <c r="H194" s="83"/>
      <c r="I194" s="86">
        <f>K192</f>
        <v>0.39666666666666667</v>
      </c>
      <c r="J194" s="38" t="s">
        <v>193</v>
      </c>
      <c r="K194" s="27">
        <f>Q11/1000</f>
        <v>0.22</v>
      </c>
      <c r="L194" s="38" t="s">
        <v>76</v>
      </c>
      <c r="M194" s="105">
        <f>I194+K194/2</f>
        <v>0.50666666666666671</v>
      </c>
      <c r="N194" s="27" t="s">
        <v>126</v>
      </c>
    </row>
    <row r="196" spans="2:20" x14ac:dyDescent="0.25">
      <c r="D196" s="27" t="s">
        <v>194</v>
      </c>
    </row>
    <row r="198" spans="2:20" x14ac:dyDescent="0.25">
      <c r="D198" s="112" t="s">
        <v>187</v>
      </c>
      <c r="E198" s="27" t="s">
        <v>195</v>
      </c>
      <c r="H198" s="83"/>
      <c r="I198" s="27">
        <f>M26</f>
        <v>2.3625000000000003</v>
      </c>
      <c r="J198" s="38" t="s">
        <v>76</v>
      </c>
      <c r="K198" s="108">
        <f>I198/12</f>
        <v>0.19687500000000002</v>
      </c>
      <c r="L198" s="27" t="s">
        <v>46</v>
      </c>
    </row>
    <row r="200" spans="2:20" x14ac:dyDescent="0.25">
      <c r="D200" s="112" t="s">
        <v>187</v>
      </c>
      <c r="E200" s="27" t="s">
        <v>196</v>
      </c>
      <c r="H200" s="83"/>
      <c r="I200" s="27">
        <f>L29</f>
        <v>2.38</v>
      </c>
      <c r="J200" s="38" t="s">
        <v>76</v>
      </c>
      <c r="K200" s="108">
        <f>I200/8</f>
        <v>0.29749999999999999</v>
      </c>
      <c r="L200" s="27" t="s">
        <v>50</v>
      </c>
    </row>
    <row r="201" spans="2:20" x14ac:dyDescent="0.25">
      <c r="G201" s="83"/>
    </row>
    <row r="202" spans="2:20" x14ac:dyDescent="0.25">
      <c r="C202" s="82" t="s">
        <v>139</v>
      </c>
      <c r="D202" s="30" t="s">
        <v>197</v>
      </c>
    </row>
    <row r="203" spans="2:20" x14ac:dyDescent="0.25">
      <c r="D203" s="27" t="s">
        <v>201</v>
      </c>
    </row>
    <row r="204" spans="2:20" ht="19.5" x14ac:dyDescent="0.25">
      <c r="D204" s="27" t="s">
        <v>200</v>
      </c>
      <c r="G204" s="27">
        <v>0.8</v>
      </c>
      <c r="H204" s="27">
        <f>'Số liệu tính'!H52</f>
        <v>0.75</v>
      </c>
      <c r="I204" s="27">
        <f>G22</f>
        <v>1000</v>
      </c>
      <c r="J204" s="27">
        <f>K95</f>
        <v>65</v>
      </c>
      <c r="K204" s="38" t="s">
        <v>76</v>
      </c>
      <c r="L204" s="27">
        <f>G204*H204*I204*J204</f>
        <v>39000.000000000007</v>
      </c>
      <c r="M204" s="27" t="s">
        <v>202</v>
      </c>
      <c r="N204" s="27">
        <f>L204/1000</f>
        <v>39.000000000000007</v>
      </c>
      <c r="O204" s="27" t="s">
        <v>140</v>
      </c>
    </row>
    <row r="205" spans="2:20" ht="19.5" x14ac:dyDescent="0.35">
      <c r="D205" s="83"/>
      <c r="E205" s="108">
        <f>M90</f>
        <v>14.2472925</v>
      </c>
      <c r="F205" s="27" t="s">
        <v>199</v>
      </c>
      <c r="G205" s="27" t="str">
        <f>IF(E205&lt;N204,"&lt;",IF(E205=N204,"=","&gt;"))</f>
        <v>&lt;</v>
      </c>
      <c r="H205" s="72" t="s">
        <v>198</v>
      </c>
      <c r="I205" s="27">
        <f>N204</f>
        <v>39.000000000000007</v>
      </c>
      <c r="J205" s="27" t="s">
        <v>140</v>
      </c>
      <c r="T205" s="81"/>
    </row>
    <row r="206" spans="2:20" x14ac:dyDescent="0.25">
      <c r="D206" s="27" t="str">
        <f>IF(OR(G205="&lt;",G205="="),"bản đủ khả năng chịu cắt","bản không đủ khả năng chịu cắt")</f>
        <v>bản đủ khả năng chịu cắt</v>
      </c>
    </row>
    <row r="207" spans="2:20" x14ac:dyDescent="0.25">
      <c r="B207" s="30" t="s">
        <v>203</v>
      </c>
      <c r="C207" s="30" t="s">
        <v>204</v>
      </c>
    </row>
    <row r="208" spans="2:20" x14ac:dyDescent="0.25">
      <c r="C208" s="27" t="s">
        <v>139</v>
      </c>
      <c r="D208" s="27" t="s">
        <v>205</v>
      </c>
    </row>
    <row r="209" spans="3:18" ht="18" x14ac:dyDescent="0.2">
      <c r="D209" s="27" t="s">
        <v>206</v>
      </c>
      <c r="K209" s="76" t="s">
        <v>154</v>
      </c>
      <c r="L209" s="27" t="s">
        <v>207</v>
      </c>
    </row>
    <row r="210" spans="3:18" ht="18" x14ac:dyDescent="0.2">
      <c r="D210" s="27" t="s">
        <v>208</v>
      </c>
      <c r="G210" s="36" t="s">
        <v>209</v>
      </c>
      <c r="H210" s="118">
        <f>K130</f>
        <v>256.72282223184897</v>
      </c>
      <c r="I210" s="38" t="s">
        <v>76</v>
      </c>
      <c r="J210" s="118">
        <f>H210/2</f>
        <v>128.36141111592448</v>
      </c>
      <c r="K210" s="76" t="s">
        <v>154</v>
      </c>
      <c r="L210" s="27" t="s">
        <v>210</v>
      </c>
    </row>
    <row r="211" spans="3:18" x14ac:dyDescent="0.25">
      <c r="D211" s="27" t="s">
        <v>211</v>
      </c>
    </row>
    <row r="212" spans="3:18" x14ac:dyDescent="0.25">
      <c r="D212" s="112" t="s">
        <v>187</v>
      </c>
      <c r="E212" s="27" t="s">
        <v>212</v>
      </c>
      <c r="H212" s="83"/>
      <c r="I212" s="27">
        <f>L29</f>
        <v>2.38</v>
      </c>
      <c r="J212" s="38" t="s">
        <v>76</v>
      </c>
      <c r="K212" s="27">
        <f>I212/4</f>
        <v>0.59499999999999997</v>
      </c>
      <c r="L212" s="27" t="s">
        <v>46</v>
      </c>
    </row>
    <row r="214" spans="3:18" x14ac:dyDescent="0.25">
      <c r="D214" s="112" t="s">
        <v>187</v>
      </c>
      <c r="E214" s="27" t="s">
        <v>213</v>
      </c>
      <c r="H214" s="83"/>
      <c r="J214" s="27">
        <f>K212</f>
        <v>0.59499999999999997</v>
      </c>
      <c r="K214" s="38" t="s">
        <v>214</v>
      </c>
      <c r="L214" s="27">
        <f>Q16/1000</f>
        <v>0.3</v>
      </c>
      <c r="M214" s="38" t="s">
        <v>76</v>
      </c>
      <c r="N214" s="27">
        <f>J214+L214/2</f>
        <v>0.745</v>
      </c>
      <c r="O214" s="27" t="s">
        <v>50</v>
      </c>
    </row>
    <row r="216" spans="3:18" x14ac:dyDescent="0.25">
      <c r="C216" s="38" t="s">
        <v>139</v>
      </c>
      <c r="D216" s="27" t="s">
        <v>215</v>
      </c>
    </row>
    <row r="217" spans="3:18" ht="19.5" x14ac:dyDescent="0.2">
      <c r="D217" s="27" t="s">
        <v>221</v>
      </c>
      <c r="K217" s="76" t="s">
        <v>154</v>
      </c>
      <c r="L217" s="27" t="s">
        <v>216</v>
      </c>
      <c r="M217" s="27" t="s">
        <v>217</v>
      </c>
    </row>
    <row r="218" spans="3:18" ht="18" x14ac:dyDescent="0.2">
      <c r="D218" s="27" t="s">
        <v>218</v>
      </c>
      <c r="G218" s="27" t="s">
        <v>219</v>
      </c>
      <c r="I218" s="118">
        <f>K105</f>
        <v>377.76833220696119</v>
      </c>
      <c r="J218" s="38" t="s">
        <v>76</v>
      </c>
      <c r="K218" s="27">
        <f>I218/5</f>
        <v>75.553666441392238</v>
      </c>
      <c r="L218" s="76" t="s">
        <v>154</v>
      </c>
      <c r="M218" s="27" t="s">
        <v>220</v>
      </c>
      <c r="O218" s="118">
        <f>K130</f>
        <v>256.72282223184897</v>
      </c>
      <c r="P218" s="38" t="s">
        <v>76</v>
      </c>
      <c r="Q218" s="121">
        <f>O218/5</f>
        <v>51.344564446369795</v>
      </c>
      <c r="R218" s="76" t="s">
        <v>154</v>
      </c>
    </row>
    <row r="219" spans="3:18" x14ac:dyDescent="0.2">
      <c r="I219" s="118"/>
      <c r="J219" s="38"/>
      <c r="L219" s="76"/>
      <c r="O219" s="118"/>
      <c r="P219" s="38"/>
      <c r="R219" s="76"/>
    </row>
    <row r="220" spans="3:18" x14ac:dyDescent="0.2">
      <c r="I220" s="118"/>
      <c r="J220" s="38"/>
      <c r="L220" s="76"/>
      <c r="O220" s="118"/>
      <c r="P220" s="38"/>
      <c r="R220" s="76"/>
    </row>
    <row r="221" spans="3:18" x14ac:dyDescent="0.2">
      <c r="I221" s="118"/>
      <c r="J221" s="38"/>
      <c r="L221" s="76"/>
      <c r="O221" s="118"/>
      <c r="P221" s="38"/>
      <c r="R221" s="76"/>
    </row>
    <row r="222" spans="3:18" x14ac:dyDescent="0.2">
      <c r="I222" s="118"/>
      <c r="J222" s="38"/>
      <c r="L222" s="76"/>
      <c r="O222" s="118"/>
      <c r="P222" s="38"/>
      <c r="R222" s="76"/>
    </row>
    <row r="223" spans="3:18" x14ac:dyDescent="0.2">
      <c r="I223" s="118"/>
      <c r="J223" s="38"/>
      <c r="L223" s="76"/>
      <c r="O223" s="118"/>
      <c r="P223" s="38"/>
      <c r="R223" s="76"/>
    </row>
    <row r="224" spans="3:18" x14ac:dyDescent="0.2">
      <c r="I224" s="118"/>
      <c r="J224" s="38"/>
      <c r="L224" s="76"/>
      <c r="O224" s="118"/>
      <c r="P224" s="38"/>
      <c r="R224" s="76"/>
    </row>
    <row r="225" spans="9:18" x14ac:dyDescent="0.2">
      <c r="I225" s="118"/>
      <c r="J225" s="38"/>
      <c r="L225" s="76"/>
      <c r="O225" s="118"/>
      <c r="P225" s="38"/>
      <c r="R225" s="76"/>
    </row>
    <row r="226" spans="9:18" x14ac:dyDescent="0.2">
      <c r="I226" s="118"/>
      <c r="J226" s="38"/>
      <c r="L226" s="76"/>
      <c r="O226" s="118"/>
      <c r="P226" s="38"/>
      <c r="R226" s="76"/>
    </row>
    <row r="227" spans="9:18" x14ac:dyDescent="0.2">
      <c r="I227" s="118"/>
      <c r="J227" s="38"/>
      <c r="L227" s="76"/>
      <c r="O227" s="118"/>
      <c r="P227" s="38"/>
      <c r="R227" s="76"/>
    </row>
    <row r="228" spans="9:18" x14ac:dyDescent="0.2">
      <c r="I228" s="118"/>
      <c r="J228" s="38"/>
      <c r="L228" s="76"/>
      <c r="O228" s="118"/>
      <c r="P228" s="38"/>
      <c r="R228" s="76"/>
    </row>
    <row r="229" spans="9:18" x14ac:dyDescent="0.2">
      <c r="I229" s="118"/>
      <c r="J229" s="38"/>
      <c r="L229" s="76"/>
      <c r="O229" s="118"/>
      <c r="P229" s="38"/>
      <c r="R229" s="76"/>
    </row>
    <row r="230" spans="9:18" x14ac:dyDescent="0.2">
      <c r="I230" s="118"/>
      <c r="J230" s="38"/>
      <c r="L230" s="76"/>
      <c r="O230" s="118"/>
      <c r="P230" s="38"/>
      <c r="R230" s="76"/>
    </row>
    <row r="231" spans="9:18" x14ac:dyDescent="0.2">
      <c r="I231" s="118"/>
      <c r="J231" s="38"/>
      <c r="L231" s="76"/>
      <c r="O231" s="118"/>
      <c r="P231" s="38"/>
      <c r="R231" s="76"/>
    </row>
    <row r="232" spans="9:18" x14ac:dyDescent="0.2">
      <c r="I232" s="118"/>
      <c r="J232" s="38"/>
      <c r="L232" s="76"/>
      <c r="O232" s="118"/>
      <c r="P232" s="38"/>
      <c r="R232" s="76"/>
    </row>
    <row r="233" spans="9:18" x14ac:dyDescent="0.2">
      <c r="I233" s="118"/>
      <c r="J233" s="38"/>
      <c r="L233" s="76"/>
      <c r="O233" s="118"/>
      <c r="P233" s="38"/>
      <c r="R233" s="76"/>
    </row>
    <row r="234" spans="9:18" x14ac:dyDescent="0.2">
      <c r="I234" s="118"/>
      <c r="J234" s="38"/>
      <c r="L234" s="76"/>
      <c r="O234" s="118"/>
      <c r="P234" s="38"/>
      <c r="R234" s="76"/>
    </row>
    <row r="272" spans="2:2" x14ac:dyDescent="0.25">
      <c r="B272" s="30" t="s">
        <v>553</v>
      </c>
    </row>
    <row r="273" spans="4:12" x14ac:dyDescent="0.25">
      <c r="G273" s="27" t="s">
        <v>567</v>
      </c>
    </row>
    <row r="274" spans="4:12" x14ac:dyDescent="0.25">
      <c r="D274" s="380"/>
      <c r="E274" s="380"/>
      <c r="F274" s="380"/>
      <c r="G274" s="380"/>
      <c r="H274" s="380"/>
      <c r="I274" s="381"/>
      <c r="J274" s="381"/>
      <c r="K274" s="382"/>
      <c r="L274" s="380"/>
    </row>
    <row r="275" spans="4:12" ht="45.75" x14ac:dyDescent="0.25">
      <c r="D275" s="383"/>
      <c r="E275" s="384" t="s">
        <v>560</v>
      </c>
      <c r="F275" s="384" t="s">
        <v>561</v>
      </c>
      <c r="G275" s="384" t="s">
        <v>562</v>
      </c>
      <c r="H275" s="384" t="s">
        <v>563</v>
      </c>
      <c r="I275" s="385" t="s">
        <v>564</v>
      </c>
      <c r="J275" s="385" t="s">
        <v>565</v>
      </c>
      <c r="K275" s="386" t="s">
        <v>566</v>
      </c>
      <c r="L275" s="383"/>
    </row>
    <row r="276" spans="4:12" x14ac:dyDescent="0.25">
      <c r="D276" s="383"/>
      <c r="E276" s="388">
        <v>1</v>
      </c>
      <c r="F276" s="388">
        <f>E119</f>
        <v>6</v>
      </c>
      <c r="G276" s="388">
        <f>M26*1000-F184+0.5*Q11+10*G112+120</f>
        <v>2642.5000000000005</v>
      </c>
      <c r="H276" s="392">
        <f>10000*'Nhập dữ liệu'!C13/(2*Bản!G119)</f>
        <v>385.71428571428572</v>
      </c>
      <c r="I276" s="389">
        <f>G276*H276/1000</f>
        <v>1019.2500000000002</v>
      </c>
      <c r="J276" s="389">
        <f t="shared" ref="J276:J293" si="0">I276*K276</f>
        <v>226.27350000000004</v>
      </c>
      <c r="K276" s="386">
        <f t="shared" ref="K276:K295" si="1">IF(F276=6,0.222,IF(F276=8,0.395,IF(F276=10,0.617,IF(F276=12,0.888,IF(F276=14,1.208,IF(F276=16,1.578,IF(F276=18,1.998,IF(F276=20,2.466,IF(F276=22,2.984,IF(F276=25,3.853,IF(F276=28,4.834,IF(F276=30,5.549,IF(F276=32,6.313,IF(F276=36,7.99,IF(F276=40,9.865)))))))))))))))</f>
        <v>0.222</v>
      </c>
      <c r="L276" s="383"/>
    </row>
    <row r="277" spans="4:12" x14ac:dyDescent="0.25">
      <c r="D277" s="383"/>
      <c r="E277" s="388">
        <v>2</v>
      </c>
      <c r="F277" s="388">
        <f>E119</f>
        <v>6</v>
      </c>
      <c r="G277" s="392">
        <f>M26*1000-L29*1000/8-0.5*M5-M26*1000/12+120</f>
        <v>1948.1250000000005</v>
      </c>
      <c r="H277" s="392">
        <f>H276</f>
        <v>385.71428571428572</v>
      </c>
      <c r="I277" s="389">
        <f>G277*H277/1000</f>
        <v>751.41964285714312</v>
      </c>
      <c r="J277" s="389">
        <f t="shared" si="0"/>
        <v>166.81516071428578</v>
      </c>
      <c r="K277" s="386">
        <f t="shared" si="1"/>
        <v>0.222</v>
      </c>
      <c r="L277" s="383"/>
    </row>
    <row r="278" spans="4:12" x14ac:dyDescent="0.25">
      <c r="D278" s="383"/>
      <c r="E278" s="388">
        <v>3</v>
      </c>
      <c r="F278" s="388">
        <f>E144</f>
        <v>6</v>
      </c>
      <c r="G278" s="388">
        <f>2000*'Nhập dữ liệu'!B13+300</f>
        <v>5500</v>
      </c>
      <c r="H278" s="392">
        <f>4000*'Nhập dữ liệu'!C13/(2*Bản!G144)</f>
        <v>98.181818181818187</v>
      </c>
      <c r="I278" s="389">
        <f t="shared" ref="I278:I293" si="2">G278*H278/1000</f>
        <v>540</v>
      </c>
      <c r="J278" s="389">
        <f t="shared" si="0"/>
        <v>119.88</v>
      </c>
      <c r="K278" s="386">
        <f t="shared" si="1"/>
        <v>0.222</v>
      </c>
      <c r="L278" s="383"/>
    </row>
    <row r="279" spans="4:12" x14ac:dyDescent="0.25">
      <c r="D279" s="383"/>
      <c r="E279" s="388">
        <v>4</v>
      </c>
      <c r="F279" s="388">
        <f>E144</f>
        <v>6</v>
      </c>
      <c r="G279" s="388">
        <v>2040</v>
      </c>
      <c r="H279" s="388">
        <v>248</v>
      </c>
      <c r="I279" s="389">
        <f t="shared" si="2"/>
        <v>505.92</v>
      </c>
      <c r="J279" s="389">
        <f t="shared" si="0"/>
        <v>112.31424</v>
      </c>
      <c r="K279" s="386">
        <f t="shared" si="1"/>
        <v>0.222</v>
      </c>
      <c r="L279" s="383"/>
    </row>
    <row r="280" spans="4:12" x14ac:dyDescent="0.25">
      <c r="D280" s="383"/>
      <c r="E280" s="388">
        <v>5</v>
      </c>
      <c r="F280" s="388">
        <f>E119</f>
        <v>6</v>
      </c>
      <c r="G280" s="388">
        <v>1110</v>
      </c>
      <c r="H280" s="388">
        <v>310</v>
      </c>
      <c r="I280" s="389">
        <f t="shared" si="2"/>
        <v>344.1</v>
      </c>
      <c r="J280" s="389">
        <f t="shared" si="0"/>
        <v>76.390200000000007</v>
      </c>
      <c r="K280" s="386">
        <f t="shared" si="1"/>
        <v>0.222</v>
      </c>
      <c r="L280" s="383"/>
    </row>
    <row r="281" spans="4:12" x14ac:dyDescent="0.25">
      <c r="D281" s="383"/>
      <c r="E281" s="388">
        <v>6</v>
      </c>
      <c r="F281" s="388">
        <f>E119</f>
        <v>6</v>
      </c>
      <c r="G281" s="388">
        <v>1660</v>
      </c>
      <c r="H281" s="388">
        <v>282</v>
      </c>
      <c r="I281" s="389">
        <f t="shared" si="2"/>
        <v>468.12</v>
      </c>
      <c r="J281" s="389">
        <f t="shared" si="0"/>
        <v>103.92264</v>
      </c>
      <c r="K281" s="386">
        <f t="shared" si="1"/>
        <v>0.222</v>
      </c>
      <c r="L281" s="383"/>
    </row>
    <row r="282" spans="4:12" x14ac:dyDescent="0.25">
      <c r="D282" s="383"/>
      <c r="E282" s="388">
        <v>7</v>
      </c>
      <c r="F282" s="388">
        <f>E119</f>
        <v>6</v>
      </c>
      <c r="G282" s="388">
        <v>1230</v>
      </c>
      <c r="H282" s="388">
        <v>282</v>
      </c>
      <c r="I282" s="389">
        <f t="shared" si="2"/>
        <v>346.86</v>
      </c>
      <c r="J282" s="389">
        <f t="shared" si="0"/>
        <v>77.002920000000003</v>
      </c>
      <c r="K282" s="386">
        <f t="shared" si="1"/>
        <v>0.222</v>
      </c>
      <c r="L282" s="383"/>
    </row>
    <row r="283" spans="4:12" x14ac:dyDescent="0.25">
      <c r="D283" s="383"/>
      <c r="E283" s="388">
        <v>8</v>
      </c>
      <c r="F283" s="388">
        <f>E144</f>
        <v>6</v>
      </c>
      <c r="G283" s="388">
        <v>1660</v>
      </c>
      <c r="H283" s="388">
        <v>248</v>
      </c>
      <c r="I283" s="389">
        <f t="shared" si="2"/>
        <v>411.68</v>
      </c>
      <c r="J283" s="389">
        <f t="shared" si="0"/>
        <v>91.392960000000002</v>
      </c>
      <c r="K283" s="386">
        <f t="shared" si="1"/>
        <v>0.222</v>
      </c>
      <c r="L283" s="383"/>
    </row>
    <row r="284" spans="4:12" x14ac:dyDescent="0.25">
      <c r="D284" s="383"/>
      <c r="E284" s="388">
        <v>9</v>
      </c>
      <c r="F284" s="388">
        <f>E144</f>
        <v>6</v>
      </c>
      <c r="G284" s="388">
        <v>1230</v>
      </c>
      <c r="H284" s="388">
        <v>248</v>
      </c>
      <c r="I284" s="389">
        <f t="shared" si="2"/>
        <v>305.04000000000002</v>
      </c>
      <c r="J284" s="389">
        <f t="shared" si="0"/>
        <v>67.718879999999999</v>
      </c>
      <c r="K284" s="386">
        <f t="shared" si="1"/>
        <v>0.222</v>
      </c>
      <c r="L284" s="383"/>
    </row>
    <row r="285" spans="4:12" x14ac:dyDescent="0.25">
      <c r="D285" s="383"/>
      <c r="E285" s="388">
        <v>10</v>
      </c>
      <c r="F285" s="388">
        <f>6</f>
        <v>6</v>
      </c>
      <c r="G285" s="388">
        <v>31000</v>
      </c>
      <c r="H285" s="388">
        <v>100</v>
      </c>
      <c r="I285" s="389">
        <f t="shared" si="2"/>
        <v>3100</v>
      </c>
      <c r="J285" s="389">
        <f t="shared" si="0"/>
        <v>688.2</v>
      </c>
      <c r="K285" s="386">
        <f t="shared" si="1"/>
        <v>0.222</v>
      </c>
      <c r="L285" s="383"/>
    </row>
    <row r="286" spans="4:12" x14ac:dyDescent="0.25">
      <c r="D286" s="383"/>
      <c r="E286" s="388">
        <v>11</v>
      </c>
      <c r="F286" s="388">
        <f>6</f>
        <v>6</v>
      </c>
      <c r="G286" s="388">
        <v>31000</v>
      </c>
      <c r="H286" s="388">
        <v>48</v>
      </c>
      <c r="I286" s="389">
        <f t="shared" si="2"/>
        <v>1488</v>
      </c>
      <c r="J286" s="389">
        <f t="shared" si="0"/>
        <v>330.33600000000001</v>
      </c>
      <c r="K286" s="386">
        <f t="shared" si="1"/>
        <v>0.222</v>
      </c>
      <c r="L286" s="383"/>
    </row>
    <row r="287" spans="4:12" x14ac:dyDescent="0.25">
      <c r="D287" s="383"/>
      <c r="E287" s="388">
        <v>12</v>
      </c>
      <c r="F287" s="388">
        <f>6</f>
        <v>6</v>
      </c>
      <c r="G287" s="388">
        <v>1780</v>
      </c>
      <c r="H287" s="388">
        <v>126</v>
      </c>
      <c r="I287" s="389">
        <f t="shared" si="2"/>
        <v>224.28</v>
      </c>
      <c r="J287" s="389">
        <f t="shared" si="0"/>
        <v>49.79016</v>
      </c>
      <c r="K287" s="386">
        <f t="shared" si="1"/>
        <v>0.222</v>
      </c>
      <c r="L287" s="383"/>
    </row>
    <row r="288" spans="4:12" x14ac:dyDescent="0.25">
      <c r="D288" s="383"/>
      <c r="E288" s="388">
        <v>13</v>
      </c>
      <c r="F288" s="388">
        <f>6</f>
        <v>6</v>
      </c>
      <c r="G288" s="388">
        <v>25200</v>
      </c>
      <c r="H288" s="388">
        <v>90</v>
      </c>
      <c r="I288" s="389">
        <f t="shared" si="2"/>
        <v>2268</v>
      </c>
      <c r="J288" s="389">
        <f t="shared" si="0"/>
        <v>503.49599999999998</v>
      </c>
      <c r="K288" s="386">
        <f t="shared" si="1"/>
        <v>0.222</v>
      </c>
      <c r="L288" s="383"/>
    </row>
    <row r="289" spans="4:12" x14ac:dyDescent="0.25">
      <c r="D289" s="383"/>
      <c r="E289" s="388">
        <v>14</v>
      </c>
      <c r="F289" s="388">
        <v>6</v>
      </c>
      <c r="G289" s="388">
        <v>8700</v>
      </c>
      <c r="H289" s="388">
        <v>78</v>
      </c>
      <c r="I289" s="389">
        <f t="shared" si="2"/>
        <v>678.6</v>
      </c>
      <c r="J289" s="389">
        <f t="shared" si="0"/>
        <v>150.64920000000001</v>
      </c>
      <c r="K289" s="386">
        <f t="shared" si="1"/>
        <v>0.222</v>
      </c>
      <c r="L289" s="383"/>
    </row>
    <row r="290" spans="4:12" x14ac:dyDescent="0.25">
      <c r="D290" s="383"/>
      <c r="E290" s="388" t="s">
        <v>572</v>
      </c>
      <c r="F290" s="388">
        <v>8</v>
      </c>
      <c r="G290" s="388">
        <v>8700</v>
      </c>
      <c r="H290" s="388">
        <v>36</v>
      </c>
      <c r="I290" s="389">
        <f t="shared" si="2"/>
        <v>313.2</v>
      </c>
      <c r="J290" s="389">
        <f t="shared" si="0"/>
        <v>123.714</v>
      </c>
      <c r="K290" s="386">
        <f t="shared" si="1"/>
        <v>0.39500000000000002</v>
      </c>
      <c r="L290" s="383"/>
    </row>
    <row r="291" spans="4:12" x14ac:dyDescent="0.25">
      <c r="D291" s="383"/>
      <c r="E291" s="388">
        <v>15</v>
      </c>
      <c r="F291" s="388">
        <v>6</v>
      </c>
      <c r="G291" s="388">
        <v>2040</v>
      </c>
      <c r="H291" s="388">
        <v>232</v>
      </c>
      <c r="I291" s="389">
        <f t="shared" si="2"/>
        <v>473.28</v>
      </c>
      <c r="J291" s="389">
        <f t="shared" si="0"/>
        <v>105.06815999999999</v>
      </c>
      <c r="K291" s="386">
        <f t="shared" si="1"/>
        <v>0.222</v>
      </c>
      <c r="L291" s="383"/>
    </row>
    <row r="292" spans="4:12" x14ac:dyDescent="0.25">
      <c r="D292" s="383"/>
      <c r="E292" s="388">
        <v>16</v>
      </c>
      <c r="F292" s="388">
        <v>6</v>
      </c>
      <c r="G292" s="388">
        <v>1660</v>
      </c>
      <c r="H292" s="388">
        <v>310</v>
      </c>
      <c r="I292" s="389">
        <f t="shared" si="2"/>
        <v>514.6</v>
      </c>
      <c r="J292" s="389">
        <f t="shared" si="0"/>
        <v>114.24120000000001</v>
      </c>
      <c r="K292" s="386">
        <f t="shared" si="1"/>
        <v>0.222</v>
      </c>
      <c r="L292" s="383"/>
    </row>
    <row r="293" spans="4:12" x14ac:dyDescent="0.25">
      <c r="D293" s="383"/>
      <c r="E293" s="388">
        <v>17</v>
      </c>
      <c r="F293" s="388">
        <v>6</v>
      </c>
      <c r="G293" s="388">
        <v>1230</v>
      </c>
      <c r="H293" s="388">
        <v>310</v>
      </c>
      <c r="I293" s="389">
        <f t="shared" si="2"/>
        <v>381.3</v>
      </c>
      <c r="J293" s="389">
        <f t="shared" si="0"/>
        <v>84.648600000000002</v>
      </c>
      <c r="K293" s="386">
        <f t="shared" si="1"/>
        <v>0.222</v>
      </c>
      <c r="L293" s="383"/>
    </row>
    <row r="294" spans="4:12" x14ac:dyDescent="0.25">
      <c r="D294" s="383"/>
      <c r="E294" s="384"/>
      <c r="F294" s="384"/>
      <c r="G294" s="384"/>
      <c r="H294" s="384"/>
      <c r="I294" s="385"/>
      <c r="J294" s="385"/>
      <c r="K294" s="386" t="b">
        <f t="shared" si="1"/>
        <v>0</v>
      </c>
      <c r="L294" s="383"/>
    </row>
    <row r="295" spans="4:12" x14ac:dyDescent="0.25">
      <c r="D295" s="383"/>
      <c r="E295" s="384"/>
      <c r="F295" s="384"/>
      <c r="G295" s="384"/>
      <c r="H295" s="384"/>
      <c r="I295" s="385"/>
      <c r="J295" s="385"/>
      <c r="K295" s="386" t="b">
        <f t="shared" si="1"/>
        <v>0</v>
      </c>
      <c r="L295" s="387"/>
    </row>
  </sheetData>
  <sheetProtection formatCells="0" formatColumns="0" formatRows="0" insertColumns="0" insertRows="0" insertHyperlinks="0" deleteColumns="0" deleteRows="0" sort="0" autoFilter="0" pivotTables="0"/>
  <dataValidations count="10">
    <dataValidation type="list" allowBlank="1" showInputMessage="1" showErrorMessage="1" sqref="F4">
      <formula1>"0,8,0,9,1,1,1,1,2,1,3,1,4"</formula1>
    </dataValidation>
    <dataValidation type="list" allowBlank="1" showInputMessage="1" showErrorMessage="1" sqref="F6">
      <formula1>"30,31,32,33,34,35"</formula1>
    </dataValidation>
    <dataValidation type="list" allowBlank="1" showInputMessage="1" showErrorMessage="1" sqref="F12">
      <formula1>"12,13,14,15,16"</formula1>
    </dataValidation>
    <dataValidation type="list" allowBlank="1" showInputMessage="1" showErrorMessage="1" sqref="Q11">
      <formula1>"180,200,220"</formula1>
    </dataValidation>
    <dataValidation type="list" allowBlank="1" showInputMessage="1" showErrorMessage="1" sqref="F17">
      <formula1>"10,11,12"</formula1>
    </dataValidation>
    <dataValidation type="list" allowBlank="1" showInputMessage="1" showErrorMessage="1" sqref="Q16">
      <formula1>"250,280,300"</formula1>
    </dataValidation>
    <dataValidation type="list" allowBlank="1" showInputMessage="1" showErrorMessage="1" sqref="E94">
      <formula1>"10,15,20"</formula1>
    </dataValidation>
    <dataValidation type="list" allowBlank="1" showInputMessage="1" showErrorMessage="1" sqref="G112 G137 E152">
      <formula1>"6,8,10"</formula1>
    </dataValidation>
    <dataValidation type="list" allowBlank="1" showInputMessage="1" showErrorMessage="1" sqref="F184">
      <formula1>"10,15"</formula1>
    </dataValidation>
    <dataValidation type="list" allowBlank="1" showInputMessage="1" showErrorMessage="1" sqref="F276:F295">
      <formula1>"6,8,10,12,14,16,18,20,22,25,28,30,32,36,40"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3</xdr:col>
                <xdr:colOff>9525</xdr:colOff>
                <xdr:row>3</xdr:row>
                <xdr:rowOff>9525</xdr:rowOff>
              </from>
              <to>
                <xdr:col>4</xdr:col>
                <xdr:colOff>590550</xdr:colOff>
                <xdr:row>6</xdr:row>
                <xdr:rowOff>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6" r:id="rId6">
          <objectPr defaultSize="0" autoPict="0" r:id="rId7">
            <anchor moveWithCells="1" sizeWithCells="1">
              <from>
                <xdr:col>3</xdr:col>
                <xdr:colOff>19050</xdr:colOff>
                <xdr:row>9</xdr:row>
                <xdr:rowOff>9525</xdr:rowOff>
              </from>
              <to>
                <xdr:col>4</xdr:col>
                <xdr:colOff>590550</xdr:colOff>
                <xdr:row>12</xdr:row>
                <xdr:rowOff>9525</xdr:rowOff>
              </to>
            </anchor>
          </objectPr>
        </oleObject>
      </mc:Choice>
      <mc:Fallback>
        <oleObject progId="Equation.3" shapeId="3076" r:id="rId6"/>
      </mc:Fallback>
    </mc:AlternateContent>
    <mc:AlternateContent xmlns:mc="http://schemas.openxmlformats.org/markup-compatibility/2006">
      <mc:Choice Requires="x14">
        <oleObject progId="Equation.3" shapeId="3079" r:id="rId8">
          <objectPr defaultSize="0" autoPict="0" r:id="rId9">
            <anchor moveWithCells="1" sizeWithCells="1">
              <from>
                <xdr:col>3</xdr:col>
                <xdr:colOff>9525</xdr:colOff>
                <xdr:row>14</xdr:row>
                <xdr:rowOff>0</xdr:rowOff>
              </from>
              <to>
                <xdr:col>4</xdr:col>
                <xdr:colOff>581025</xdr:colOff>
                <xdr:row>17</xdr:row>
                <xdr:rowOff>0</xdr:rowOff>
              </to>
            </anchor>
          </objectPr>
        </oleObject>
      </mc:Choice>
      <mc:Fallback>
        <oleObject progId="Equation.3" shapeId="3079" r:id="rId8"/>
      </mc:Fallback>
    </mc:AlternateContent>
    <mc:AlternateContent xmlns:mc="http://schemas.openxmlformats.org/markup-compatibility/2006">
      <mc:Choice Requires="x14">
        <oleObject progId="Equation.3" shapeId="3081" r:id="rId10">
          <objectPr defaultSize="0" autoPict="0" r:id="rId11">
            <anchor moveWithCells="1" sizeWithCells="1">
              <from>
                <xdr:col>6</xdr:col>
                <xdr:colOff>9525</xdr:colOff>
                <xdr:row>18</xdr:row>
                <xdr:rowOff>9525</xdr:rowOff>
              </from>
              <to>
                <xdr:col>7</xdr:col>
                <xdr:colOff>0</xdr:colOff>
                <xdr:row>21</xdr:row>
                <xdr:rowOff>19050</xdr:rowOff>
              </to>
            </anchor>
          </objectPr>
        </oleObject>
      </mc:Choice>
      <mc:Fallback>
        <oleObject progId="Equation.3" shapeId="3081" r:id="rId10"/>
      </mc:Fallback>
    </mc:AlternateContent>
    <mc:AlternateContent xmlns:mc="http://schemas.openxmlformats.org/markup-compatibility/2006">
      <mc:Choice Requires="x14">
        <oleObject progId="Equation.3" shapeId="3082" r:id="rId12">
          <objectPr defaultSize="0" autoPict="0" r:id="rId13">
            <anchor moveWithCells="1" sizeWithCells="1">
              <from>
                <xdr:col>4</xdr:col>
                <xdr:colOff>323850</xdr:colOff>
                <xdr:row>23</xdr:row>
                <xdr:rowOff>190500</xdr:rowOff>
              </from>
              <to>
                <xdr:col>7</xdr:col>
                <xdr:colOff>400050</xdr:colOff>
                <xdr:row>26</xdr:row>
                <xdr:rowOff>190500</xdr:rowOff>
              </to>
            </anchor>
          </objectPr>
        </oleObject>
      </mc:Choice>
      <mc:Fallback>
        <oleObject progId="Equation.3" shapeId="3082" r:id="rId12"/>
      </mc:Fallback>
    </mc:AlternateContent>
    <mc:AlternateContent xmlns:mc="http://schemas.openxmlformats.org/markup-compatibility/2006">
      <mc:Choice Requires="x14">
        <oleObject progId="AutoCAD.Drawing.17" shapeId="3084" r:id="rId14">
          <objectPr defaultSize="0" autoPict="0" r:id="rId15">
            <anchor moveWithCells="1">
              <from>
                <xdr:col>3</xdr:col>
                <xdr:colOff>0</xdr:colOff>
                <xdr:row>53</xdr:row>
                <xdr:rowOff>190500</xdr:rowOff>
              </from>
              <to>
                <xdr:col>9</xdr:col>
                <xdr:colOff>295275</xdr:colOff>
                <xdr:row>75</xdr:row>
                <xdr:rowOff>190500</xdr:rowOff>
              </to>
            </anchor>
          </objectPr>
        </oleObject>
      </mc:Choice>
      <mc:Fallback>
        <oleObject progId="AutoCAD.Drawing.17" shapeId="3084" r:id="rId14"/>
      </mc:Fallback>
    </mc:AlternateContent>
    <mc:AlternateContent xmlns:mc="http://schemas.openxmlformats.org/markup-compatibility/2006">
      <mc:Choice Requires="x14">
        <oleObject progId="Equation.3" shapeId="3085" r:id="rId16">
          <objectPr defaultSize="0" autoPict="0" r:id="rId17">
            <anchor moveWithCells="1" sizeWithCells="1">
              <from>
                <xdr:col>3</xdr:col>
                <xdr:colOff>0</xdr:colOff>
                <xdr:row>78</xdr:row>
                <xdr:rowOff>9525</xdr:rowOff>
              </from>
              <to>
                <xdr:col>5</xdr:col>
                <xdr:colOff>581025</xdr:colOff>
                <xdr:row>81</xdr:row>
                <xdr:rowOff>0</xdr:rowOff>
              </to>
            </anchor>
          </objectPr>
        </oleObject>
      </mc:Choice>
      <mc:Fallback>
        <oleObject progId="Equation.3" shapeId="3085" r:id="rId16"/>
      </mc:Fallback>
    </mc:AlternateContent>
    <mc:AlternateContent xmlns:mc="http://schemas.openxmlformats.org/markup-compatibility/2006">
      <mc:Choice Requires="x14">
        <oleObject progId="Equation.3" shapeId="3086" r:id="rId18">
          <objectPr defaultSize="0" autoPict="0" r:id="rId19">
            <anchor moveWithCells="1" sizeWithCells="1">
              <from>
                <xdr:col>3</xdr:col>
                <xdr:colOff>9525</xdr:colOff>
                <xdr:row>83</xdr:row>
                <xdr:rowOff>9525</xdr:rowOff>
              </from>
              <to>
                <xdr:col>5</xdr:col>
                <xdr:colOff>590550</xdr:colOff>
                <xdr:row>85</xdr:row>
                <xdr:rowOff>190500</xdr:rowOff>
              </to>
            </anchor>
          </objectPr>
        </oleObject>
      </mc:Choice>
      <mc:Fallback>
        <oleObject progId="Equation.3" shapeId="3086" r:id="rId18"/>
      </mc:Fallback>
    </mc:AlternateContent>
    <mc:AlternateContent xmlns:mc="http://schemas.openxmlformats.org/markup-compatibility/2006">
      <mc:Choice Requires="x14">
        <oleObject progId="Equation.3" shapeId="3091" r:id="rId20">
          <objectPr defaultSize="0" autoPict="0" r:id="rId21">
            <anchor moveWithCells="1" sizeWithCells="1">
              <from>
                <xdr:col>3</xdr:col>
                <xdr:colOff>0</xdr:colOff>
                <xdr:row>89</xdr:row>
                <xdr:rowOff>0</xdr:rowOff>
              </from>
              <to>
                <xdr:col>3</xdr:col>
                <xdr:colOff>371475</xdr:colOff>
                <xdr:row>89</xdr:row>
                <xdr:rowOff>238125</xdr:rowOff>
              </to>
            </anchor>
          </objectPr>
        </oleObject>
      </mc:Choice>
      <mc:Fallback>
        <oleObject progId="Equation.3" shapeId="3091" r:id="rId20"/>
      </mc:Fallback>
    </mc:AlternateContent>
    <mc:AlternateContent xmlns:mc="http://schemas.openxmlformats.org/markup-compatibility/2006">
      <mc:Choice Requires="x14">
        <oleObject progId="Equation.3" shapeId="3092" r:id="rId22">
          <objectPr defaultSize="0" autoPict="0" r:id="rId23">
            <anchor moveWithCells="1" sizeWithCells="1">
              <from>
                <xdr:col>2</xdr:col>
                <xdr:colOff>190500</xdr:colOff>
                <xdr:row>89</xdr:row>
                <xdr:rowOff>238125</xdr:rowOff>
              </from>
              <to>
                <xdr:col>6</xdr:col>
                <xdr:colOff>552450</xdr:colOff>
                <xdr:row>91</xdr:row>
                <xdr:rowOff>47625</xdr:rowOff>
              </to>
            </anchor>
          </objectPr>
        </oleObject>
      </mc:Choice>
      <mc:Fallback>
        <oleObject progId="Equation.3" shapeId="3092" r:id="rId22"/>
      </mc:Fallback>
    </mc:AlternateContent>
    <mc:AlternateContent xmlns:mc="http://schemas.openxmlformats.org/markup-compatibility/2006">
      <mc:Choice Requires="x14">
        <oleObject progId="Equation.3" shapeId="3095" r:id="rId24">
          <objectPr defaultSize="0" autoPict="0" r:id="rId25">
            <anchor moveWithCells="1" sizeWithCells="1">
              <from>
                <xdr:col>3</xdr:col>
                <xdr:colOff>9525</xdr:colOff>
                <xdr:row>96</xdr:row>
                <xdr:rowOff>9525</xdr:rowOff>
              </from>
              <to>
                <xdr:col>4</xdr:col>
                <xdr:colOff>581025</xdr:colOff>
                <xdr:row>99</xdr:row>
                <xdr:rowOff>0</xdr:rowOff>
              </to>
            </anchor>
          </objectPr>
        </oleObject>
      </mc:Choice>
      <mc:Fallback>
        <oleObject progId="Equation.3" shapeId="3095" r:id="rId24"/>
      </mc:Fallback>
    </mc:AlternateContent>
    <mc:AlternateContent xmlns:mc="http://schemas.openxmlformats.org/markup-compatibility/2006">
      <mc:Choice Requires="x14">
        <oleObject progId="Equation.3" shapeId="3096" r:id="rId26">
          <objectPr defaultSize="0" autoPict="0" r:id="rId27">
            <anchor moveWithCells="1" sizeWithCells="1">
              <from>
                <xdr:col>10</xdr:col>
                <xdr:colOff>714375</xdr:colOff>
                <xdr:row>96</xdr:row>
                <xdr:rowOff>190500</xdr:rowOff>
              </from>
              <to>
                <xdr:col>12</xdr:col>
                <xdr:colOff>476250</xdr:colOff>
                <xdr:row>98</xdr:row>
                <xdr:rowOff>38100</xdr:rowOff>
              </to>
            </anchor>
          </objectPr>
        </oleObject>
      </mc:Choice>
      <mc:Fallback>
        <oleObject progId="Equation.3" shapeId="3096" r:id="rId26"/>
      </mc:Fallback>
    </mc:AlternateContent>
    <mc:AlternateContent xmlns:mc="http://schemas.openxmlformats.org/markup-compatibility/2006">
      <mc:Choice Requires="x14">
        <oleObject progId="Equation.3" shapeId="3099" r:id="rId28">
          <objectPr defaultSize="0" autoPict="0" r:id="rId29">
            <anchor moveWithCells="1" sizeWithCells="1">
              <from>
                <xdr:col>3</xdr:col>
                <xdr:colOff>66675</xdr:colOff>
                <xdr:row>99</xdr:row>
                <xdr:rowOff>152400</xdr:rowOff>
              </from>
              <to>
                <xdr:col>7</xdr:col>
                <xdr:colOff>38100</xdr:colOff>
                <xdr:row>102</xdr:row>
                <xdr:rowOff>9525</xdr:rowOff>
              </to>
            </anchor>
          </objectPr>
        </oleObject>
      </mc:Choice>
      <mc:Fallback>
        <oleObject progId="Equation.3" shapeId="3099" r:id="rId28"/>
      </mc:Fallback>
    </mc:AlternateContent>
    <mc:AlternateContent xmlns:mc="http://schemas.openxmlformats.org/markup-compatibility/2006">
      <mc:Choice Requires="x14">
        <oleObject progId="Equation.3" shapeId="3100" r:id="rId30">
          <objectPr defaultSize="0" autoPict="0" r:id="rId31">
            <anchor moveWithCells="1" sizeWithCells="1">
              <from>
                <xdr:col>3</xdr:col>
                <xdr:colOff>219075</xdr:colOff>
                <xdr:row>103</xdr:row>
                <xdr:rowOff>38100</xdr:rowOff>
              </from>
              <to>
                <xdr:col>4</xdr:col>
                <xdr:colOff>590550</xdr:colOff>
                <xdr:row>105</xdr:row>
                <xdr:rowOff>190500</xdr:rowOff>
              </to>
            </anchor>
          </objectPr>
        </oleObject>
      </mc:Choice>
      <mc:Fallback>
        <oleObject progId="Equation.3" shapeId="3100" r:id="rId30"/>
      </mc:Fallback>
    </mc:AlternateContent>
    <mc:AlternateContent xmlns:mc="http://schemas.openxmlformats.org/markup-compatibility/2006">
      <mc:Choice Requires="x14">
        <oleObject progId="Equation.3" shapeId="3101" r:id="rId32">
          <objectPr defaultSize="0" autoPict="0" r:id="rId33">
            <anchor moveWithCells="1" sizeWithCells="1">
              <from>
                <xdr:col>3</xdr:col>
                <xdr:colOff>152400</xdr:colOff>
                <xdr:row>107</xdr:row>
                <xdr:rowOff>28575</xdr:rowOff>
              </from>
              <to>
                <xdr:col>5</xdr:col>
                <xdr:colOff>533400</xdr:colOff>
                <xdr:row>109</xdr:row>
                <xdr:rowOff>190500</xdr:rowOff>
              </to>
            </anchor>
          </objectPr>
        </oleObject>
      </mc:Choice>
      <mc:Fallback>
        <oleObject progId="Equation.3" shapeId="3101" r:id="rId32"/>
      </mc:Fallback>
    </mc:AlternateContent>
    <mc:AlternateContent xmlns:mc="http://schemas.openxmlformats.org/markup-compatibility/2006">
      <mc:Choice Requires="x14">
        <oleObject progId="Equation.3" shapeId="3103" r:id="rId34">
          <objectPr defaultSize="0" autoPict="0" r:id="rId35">
            <anchor moveWithCells="1" sizeWithCells="1">
              <from>
                <xdr:col>4</xdr:col>
                <xdr:colOff>0</xdr:colOff>
                <xdr:row>114</xdr:row>
                <xdr:rowOff>0</xdr:rowOff>
              </from>
              <to>
                <xdr:col>5</xdr:col>
                <xdr:colOff>457200</xdr:colOff>
                <xdr:row>117</xdr:row>
                <xdr:rowOff>9525</xdr:rowOff>
              </to>
            </anchor>
          </objectPr>
        </oleObject>
      </mc:Choice>
      <mc:Fallback>
        <oleObject progId="Equation.3" shapeId="3103" r:id="rId34"/>
      </mc:Fallback>
    </mc:AlternateContent>
    <mc:AlternateContent xmlns:mc="http://schemas.openxmlformats.org/markup-compatibility/2006">
      <mc:Choice Requires="x14">
        <oleObject progId="Equation.3" shapeId="3104" r:id="rId36">
          <objectPr defaultSize="0" autoPict="0" r:id="rId25">
            <anchor moveWithCells="1" sizeWithCells="1">
              <from>
                <xdr:col>3</xdr:col>
                <xdr:colOff>9525</xdr:colOff>
                <xdr:row>121</xdr:row>
                <xdr:rowOff>9525</xdr:rowOff>
              </from>
              <to>
                <xdr:col>4</xdr:col>
                <xdr:colOff>581025</xdr:colOff>
                <xdr:row>124</xdr:row>
                <xdr:rowOff>0</xdr:rowOff>
              </to>
            </anchor>
          </objectPr>
        </oleObject>
      </mc:Choice>
      <mc:Fallback>
        <oleObject progId="Equation.3" shapeId="3104" r:id="rId36"/>
      </mc:Fallback>
    </mc:AlternateContent>
    <mc:AlternateContent xmlns:mc="http://schemas.openxmlformats.org/markup-compatibility/2006">
      <mc:Choice Requires="x14">
        <oleObject progId="Equation.3" shapeId="3105" r:id="rId37">
          <objectPr defaultSize="0" autoPict="0" r:id="rId38">
            <anchor moveWithCells="1" sizeWithCells="1">
              <from>
                <xdr:col>10</xdr:col>
                <xdr:colOff>714375</xdr:colOff>
                <xdr:row>121</xdr:row>
                <xdr:rowOff>190500</xdr:rowOff>
              </from>
              <to>
                <xdr:col>12</xdr:col>
                <xdr:colOff>476250</xdr:colOff>
                <xdr:row>123</xdr:row>
                <xdr:rowOff>38100</xdr:rowOff>
              </to>
            </anchor>
          </objectPr>
        </oleObject>
      </mc:Choice>
      <mc:Fallback>
        <oleObject progId="Equation.3" shapeId="3105" r:id="rId37"/>
      </mc:Fallback>
    </mc:AlternateContent>
    <mc:AlternateContent xmlns:mc="http://schemas.openxmlformats.org/markup-compatibility/2006">
      <mc:Choice Requires="x14">
        <oleObject progId="Equation.3" shapeId="3106" r:id="rId39">
          <objectPr defaultSize="0" autoPict="0" r:id="rId29">
            <anchor moveWithCells="1" sizeWithCells="1">
              <from>
                <xdr:col>3</xdr:col>
                <xdr:colOff>66675</xdr:colOff>
                <xdr:row>124</xdr:row>
                <xdr:rowOff>152400</xdr:rowOff>
              </from>
              <to>
                <xdr:col>7</xdr:col>
                <xdr:colOff>38100</xdr:colOff>
                <xdr:row>127</xdr:row>
                <xdr:rowOff>9525</xdr:rowOff>
              </to>
            </anchor>
          </objectPr>
        </oleObject>
      </mc:Choice>
      <mc:Fallback>
        <oleObject progId="Equation.3" shapeId="3106" r:id="rId39"/>
      </mc:Fallback>
    </mc:AlternateContent>
    <mc:AlternateContent xmlns:mc="http://schemas.openxmlformats.org/markup-compatibility/2006">
      <mc:Choice Requires="x14">
        <oleObject progId="Equation.3" shapeId="3107" r:id="rId40">
          <objectPr defaultSize="0" autoPict="0" r:id="rId31">
            <anchor moveWithCells="1" sizeWithCells="1">
              <from>
                <xdr:col>3</xdr:col>
                <xdr:colOff>219075</xdr:colOff>
                <xdr:row>128</xdr:row>
                <xdr:rowOff>38100</xdr:rowOff>
              </from>
              <to>
                <xdr:col>4</xdr:col>
                <xdr:colOff>590550</xdr:colOff>
                <xdr:row>130</xdr:row>
                <xdr:rowOff>190500</xdr:rowOff>
              </to>
            </anchor>
          </objectPr>
        </oleObject>
      </mc:Choice>
      <mc:Fallback>
        <oleObject progId="Equation.3" shapeId="3107" r:id="rId40"/>
      </mc:Fallback>
    </mc:AlternateContent>
    <mc:AlternateContent xmlns:mc="http://schemas.openxmlformats.org/markup-compatibility/2006">
      <mc:Choice Requires="x14">
        <oleObject progId="Equation.3" shapeId="3108" r:id="rId41">
          <objectPr defaultSize="0" autoPict="0" r:id="rId33">
            <anchor moveWithCells="1" sizeWithCells="1">
              <from>
                <xdr:col>3</xdr:col>
                <xdr:colOff>152400</xdr:colOff>
                <xdr:row>132</xdr:row>
                <xdr:rowOff>28575</xdr:rowOff>
              </from>
              <to>
                <xdr:col>5</xdr:col>
                <xdr:colOff>533400</xdr:colOff>
                <xdr:row>134</xdr:row>
                <xdr:rowOff>190500</xdr:rowOff>
              </to>
            </anchor>
          </objectPr>
        </oleObject>
      </mc:Choice>
      <mc:Fallback>
        <oleObject progId="Equation.3" shapeId="3108" r:id="rId41"/>
      </mc:Fallback>
    </mc:AlternateContent>
    <mc:AlternateContent xmlns:mc="http://schemas.openxmlformats.org/markup-compatibility/2006">
      <mc:Choice Requires="x14">
        <oleObject progId="Equation.3" shapeId="3109" r:id="rId42">
          <objectPr defaultSize="0" autoPict="0" r:id="rId35">
            <anchor moveWithCells="1" sizeWithCells="1">
              <from>
                <xdr:col>4</xdr:col>
                <xdr:colOff>0</xdr:colOff>
                <xdr:row>139</xdr:row>
                <xdr:rowOff>0</xdr:rowOff>
              </from>
              <to>
                <xdr:col>5</xdr:col>
                <xdr:colOff>457200</xdr:colOff>
                <xdr:row>142</xdr:row>
                <xdr:rowOff>9525</xdr:rowOff>
              </to>
            </anchor>
          </objectPr>
        </oleObject>
      </mc:Choice>
      <mc:Fallback>
        <oleObject progId="Equation.3" shapeId="3109" r:id="rId42"/>
      </mc:Fallback>
    </mc:AlternateContent>
    <mc:AlternateContent xmlns:mc="http://schemas.openxmlformats.org/markup-compatibility/2006">
      <mc:Choice Requires="x14">
        <oleObject progId="Equation.3" shapeId="3113" r:id="rId43">
          <objectPr defaultSize="0" autoPict="0" r:id="rId44">
            <anchor moveWithCells="1" sizeWithCells="1">
              <from>
                <xdr:col>7</xdr:col>
                <xdr:colOff>333375</xdr:colOff>
                <xdr:row>191</xdr:row>
                <xdr:rowOff>0</xdr:rowOff>
              </from>
              <to>
                <xdr:col>7</xdr:col>
                <xdr:colOff>742950</xdr:colOff>
                <xdr:row>192</xdr:row>
                <xdr:rowOff>123825</xdr:rowOff>
              </to>
            </anchor>
          </objectPr>
        </oleObject>
      </mc:Choice>
      <mc:Fallback>
        <oleObject progId="Equation.3" shapeId="3113" r:id="rId43"/>
      </mc:Fallback>
    </mc:AlternateContent>
    <mc:AlternateContent xmlns:mc="http://schemas.openxmlformats.org/markup-compatibility/2006">
      <mc:Choice Requires="x14">
        <oleObject progId="Equation.3" shapeId="3114" r:id="rId45">
          <objectPr defaultSize="0" autoPict="0" r:id="rId46">
            <anchor moveWithCells="1" sizeWithCells="1">
              <from>
                <xdr:col>6</xdr:col>
                <xdr:colOff>457200</xdr:colOff>
                <xdr:row>192</xdr:row>
                <xdr:rowOff>142875</xdr:rowOff>
              </from>
              <to>
                <xdr:col>8</xdr:col>
                <xdr:colOff>0</xdr:colOff>
                <xdr:row>194</xdr:row>
                <xdr:rowOff>133350</xdr:rowOff>
              </to>
            </anchor>
          </objectPr>
        </oleObject>
      </mc:Choice>
      <mc:Fallback>
        <oleObject progId="Equation.3" shapeId="3114" r:id="rId45"/>
      </mc:Fallback>
    </mc:AlternateContent>
    <mc:AlternateContent xmlns:mc="http://schemas.openxmlformats.org/markup-compatibility/2006">
      <mc:Choice Requires="x14">
        <oleObject progId="Equation.3" shapeId="3116" r:id="rId47">
          <objectPr defaultSize="0" autoPict="0" r:id="rId48">
            <anchor moveWithCells="1" sizeWithCells="1">
              <from>
                <xdr:col>6</xdr:col>
                <xdr:colOff>190500</xdr:colOff>
                <xdr:row>196</xdr:row>
                <xdr:rowOff>104775</xdr:rowOff>
              </from>
              <to>
                <xdr:col>7</xdr:col>
                <xdr:colOff>714375</xdr:colOff>
                <xdr:row>198</xdr:row>
                <xdr:rowOff>95250</xdr:rowOff>
              </to>
            </anchor>
          </objectPr>
        </oleObject>
      </mc:Choice>
      <mc:Fallback>
        <oleObject progId="Equation.3" shapeId="3116" r:id="rId47"/>
      </mc:Fallback>
    </mc:AlternateContent>
    <mc:AlternateContent xmlns:mc="http://schemas.openxmlformats.org/markup-compatibility/2006">
      <mc:Choice Requires="x14">
        <oleObject progId="Equation.3" shapeId="3117" r:id="rId49">
          <objectPr defaultSize="0" autoPict="0" r:id="rId50">
            <anchor moveWithCells="1" sizeWithCells="1">
              <from>
                <xdr:col>7</xdr:col>
                <xdr:colOff>152400</xdr:colOff>
                <xdr:row>198</xdr:row>
                <xdr:rowOff>123825</xdr:rowOff>
              </from>
              <to>
                <xdr:col>7</xdr:col>
                <xdr:colOff>714375</xdr:colOff>
                <xdr:row>200</xdr:row>
                <xdr:rowOff>114300</xdr:rowOff>
              </to>
            </anchor>
          </objectPr>
        </oleObject>
      </mc:Choice>
      <mc:Fallback>
        <oleObject progId="Equation.3" shapeId="3117" r:id="rId49"/>
      </mc:Fallback>
    </mc:AlternateContent>
    <mc:AlternateContent xmlns:mc="http://schemas.openxmlformats.org/markup-compatibility/2006">
      <mc:Choice Requires="x14">
        <oleObject progId="Equation.3" shapeId="3118" r:id="rId51">
          <objectPr defaultSize="0" autoPict="0" r:id="rId52">
            <anchor moveWithCells="1" sizeWithCells="1">
              <from>
                <xdr:col>3</xdr:col>
                <xdr:colOff>0</xdr:colOff>
                <xdr:row>204</xdr:row>
                <xdr:rowOff>0</xdr:rowOff>
              </from>
              <to>
                <xdr:col>3</xdr:col>
                <xdr:colOff>381000</xdr:colOff>
                <xdr:row>205</xdr:row>
                <xdr:rowOff>38100</xdr:rowOff>
              </to>
            </anchor>
          </objectPr>
        </oleObject>
      </mc:Choice>
      <mc:Fallback>
        <oleObject progId="Equation.3" shapeId="3118" r:id="rId51"/>
      </mc:Fallback>
    </mc:AlternateContent>
    <mc:AlternateContent xmlns:mc="http://schemas.openxmlformats.org/markup-compatibility/2006">
      <mc:Choice Requires="x14">
        <oleObject progId="Equation.3" shapeId="3120" r:id="rId53">
          <objectPr defaultSize="0" autoPict="0" r:id="rId54">
            <anchor moveWithCells="1" sizeWithCells="1">
              <from>
                <xdr:col>7</xdr:col>
                <xdr:colOff>161925</xdr:colOff>
                <xdr:row>210</xdr:row>
                <xdr:rowOff>95250</xdr:rowOff>
              </from>
              <to>
                <xdr:col>7</xdr:col>
                <xdr:colOff>742950</xdr:colOff>
                <xdr:row>212</xdr:row>
                <xdr:rowOff>85725</xdr:rowOff>
              </to>
            </anchor>
          </objectPr>
        </oleObject>
      </mc:Choice>
      <mc:Fallback>
        <oleObject progId="Equation.3" shapeId="3120" r:id="rId53"/>
      </mc:Fallback>
    </mc:AlternateContent>
    <mc:AlternateContent xmlns:mc="http://schemas.openxmlformats.org/markup-compatibility/2006">
      <mc:Choice Requires="x14">
        <oleObject progId="Equation.3" shapeId="3121" r:id="rId55">
          <objectPr defaultSize="0" autoPict="0" r:id="rId56">
            <anchor moveWithCells="1" sizeWithCells="1">
              <from>
                <xdr:col>7</xdr:col>
                <xdr:colOff>9525</xdr:colOff>
                <xdr:row>212</xdr:row>
                <xdr:rowOff>114300</xdr:rowOff>
              </from>
              <to>
                <xdr:col>8</xdr:col>
                <xdr:colOff>161925</xdr:colOff>
                <xdr:row>214</xdr:row>
                <xdr:rowOff>104775</xdr:rowOff>
              </to>
            </anchor>
          </objectPr>
        </oleObject>
      </mc:Choice>
      <mc:Fallback>
        <oleObject progId="Equation.3" shapeId="3121" r:id="rId55"/>
      </mc:Fallback>
    </mc:AlternateContent>
    <mc:AlternateContent xmlns:mc="http://schemas.openxmlformats.org/markup-compatibility/2006">
      <mc:Choice Requires="x14">
        <oleObject progId="AutoCAD.Drawing.17" shapeId="3123" r:id="rId57">
          <objectPr defaultSize="0" r:id="rId58">
            <anchor moveWithCells="1">
              <from>
                <xdr:col>2</xdr:col>
                <xdr:colOff>133350</xdr:colOff>
                <xdr:row>219</xdr:row>
                <xdr:rowOff>190500</xdr:rowOff>
              </from>
              <to>
                <xdr:col>14</xdr:col>
                <xdr:colOff>314325</xdr:colOff>
                <xdr:row>246</xdr:row>
                <xdr:rowOff>76200</xdr:rowOff>
              </to>
            </anchor>
          </objectPr>
        </oleObject>
      </mc:Choice>
      <mc:Fallback>
        <oleObject progId="AutoCAD.Drawing.17" shapeId="3123" r:id="rId57"/>
      </mc:Fallback>
    </mc:AlternateContent>
    <mc:AlternateContent xmlns:mc="http://schemas.openxmlformats.org/markup-compatibility/2006">
      <mc:Choice Requires="x14">
        <oleObject progId="AutoCAD.Drawing.17" shapeId="3126" r:id="rId59">
          <objectPr defaultSize="0" r:id="rId60">
            <anchor moveWithCells="1">
              <from>
                <xdr:col>2</xdr:col>
                <xdr:colOff>114300</xdr:colOff>
                <xdr:row>154</xdr:row>
                <xdr:rowOff>114300</xdr:rowOff>
              </from>
              <to>
                <xdr:col>10</xdr:col>
                <xdr:colOff>600075</xdr:colOff>
                <xdr:row>180</xdr:row>
                <xdr:rowOff>76200</xdr:rowOff>
              </to>
            </anchor>
          </objectPr>
        </oleObject>
      </mc:Choice>
      <mc:Fallback>
        <oleObject progId="AutoCAD.Drawing.17" shapeId="3126" r:id="rId59"/>
      </mc:Fallback>
    </mc:AlternateContent>
    <mc:AlternateContent xmlns:mc="http://schemas.openxmlformats.org/markup-compatibility/2006">
      <mc:Choice Requires="x14">
        <oleObject progId="AutoCAD.Drawing.17" shapeId="3131" r:id="rId61">
          <objectPr defaultSize="0" autoPict="0" r:id="rId62">
            <anchor moveWithCells="1">
              <from>
                <xdr:col>2</xdr:col>
                <xdr:colOff>123825</xdr:colOff>
                <xdr:row>246</xdr:row>
                <xdr:rowOff>114300</xdr:rowOff>
              </from>
              <to>
                <xdr:col>14</xdr:col>
                <xdr:colOff>314325</xdr:colOff>
                <xdr:row>270</xdr:row>
                <xdr:rowOff>133350</xdr:rowOff>
              </to>
            </anchor>
          </objectPr>
        </oleObject>
      </mc:Choice>
      <mc:Fallback>
        <oleObject progId="AutoCAD.Drawing.17" shapeId="3131" r:id="rId6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50"/>
  <sheetViews>
    <sheetView zoomScaleNormal="100" workbookViewId="0">
      <pane ySplit="1" topLeftCell="A347" activePane="bottomLeft" state="frozen"/>
      <selection pane="bottomLeft" activeCell="I369" sqref="I369"/>
    </sheetView>
  </sheetViews>
  <sheetFormatPr defaultRowHeight="15.75" x14ac:dyDescent="0.25"/>
  <cols>
    <col min="1" max="1" width="3.28515625" style="126" customWidth="1"/>
    <col min="2" max="2" width="3.140625" style="126" customWidth="1"/>
    <col min="3" max="3" width="5.5703125" style="126" customWidth="1"/>
    <col min="4" max="4" width="9.140625" style="3"/>
    <col min="5" max="5" width="11.85546875" style="3" customWidth="1"/>
    <col min="6" max="6" width="13.7109375" style="3" customWidth="1"/>
    <col min="7" max="7" width="13.28515625" style="3" customWidth="1"/>
    <col min="8" max="8" width="14.28515625" style="3" customWidth="1"/>
    <col min="9" max="9" width="14.42578125" style="3" customWidth="1"/>
    <col min="10" max="10" width="14" style="3" customWidth="1"/>
    <col min="11" max="11" width="9.5703125" style="3" customWidth="1"/>
    <col min="12" max="12" width="12.85546875" style="3" bestFit="1" customWidth="1"/>
    <col min="13" max="13" width="14.42578125" style="3" bestFit="1" customWidth="1"/>
    <col min="14" max="14" width="10.85546875" style="3" bestFit="1" customWidth="1"/>
    <col min="15" max="15" width="9.28515625" style="3" bestFit="1" customWidth="1"/>
    <col min="16" max="16384" width="9.140625" style="3"/>
  </cols>
  <sheetData>
    <row r="1" spans="1:16" x14ac:dyDescent="0.25">
      <c r="A1" s="126" t="s">
        <v>222</v>
      </c>
      <c r="B1" s="126" t="s">
        <v>223</v>
      </c>
    </row>
    <row r="2" spans="1:16" x14ac:dyDescent="0.25">
      <c r="B2" s="126" t="s">
        <v>18</v>
      </c>
      <c r="C2" s="126" t="s">
        <v>89</v>
      </c>
    </row>
    <row r="3" spans="1:16" x14ac:dyDescent="0.25">
      <c r="D3" s="127" t="s">
        <v>224</v>
      </c>
      <c r="G3" s="2">
        <f>'Nhập dữ liệu'!E16</f>
        <v>4</v>
      </c>
      <c r="H3" s="3" t="s">
        <v>225</v>
      </c>
    </row>
    <row r="4" spans="1:16" x14ac:dyDescent="0.25">
      <c r="D4" s="127" t="s">
        <v>226</v>
      </c>
    </row>
    <row r="5" spans="1:16" ht="19.5" x14ac:dyDescent="0.25">
      <c r="D5" s="127" t="s">
        <v>227</v>
      </c>
      <c r="M5" s="2" t="s">
        <v>228</v>
      </c>
      <c r="N5" s="3">
        <v>220</v>
      </c>
      <c r="O5" s="3" t="s">
        <v>80</v>
      </c>
    </row>
    <row r="6" spans="1:16" ht="19.5" x14ac:dyDescent="0.35">
      <c r="D6" s="127" t="s">
        <v>229</v>
      </c>
      <c r="G6" s="128" t="s">
        <v>230</v>
      </c>
      <c r="H6" s="3">
        <f>Bản!Q16</f>
        <v>300</v>
      </c>
      <c r="I6" s="3" t="s">
        <v>26</v>
      </c>
    </row>
    <row r="7" spans="1:16" x14ac:dyDescent="0.25">
      <c r="C7" s="126" t="s">
        <v>232</v>
      </c>
    </row>
    <row r="8" spans="1:16" x14ac:dyDescent="0.25">
      <c r="J8" s="3">
        <f>H6/1000</f>
        <v>0.3</v>
      </c>
      <c r="K8" s="3">
        <f>'Nhập dữ liệu'!D19/1000</f>
        <v>0.33500000000000002</v>
      </c>
      <c r="L8" s="3">
        <f>N5/1000</f>
        <v>0.22</v>
      </c>
    </row>
    <row r="9" spans="1:16" x14ac:dyDescent="0.25">
      <c r="D9" s="127" t="s">
        <v>233</v>
      </c>
      <c r="F9"/>
      <c r="H9" s="2">
        <f>'Nhập dữ liệu'!C13</f>
        <v>5.4</v>
      </c>
      <c r="I9" s="129" t="s">
        <v>99</v>
      </c>
      <c r="J9" s="127" t="s">
        <v>235</v>
      </c>
      <c r="K9" s="127" t="s">
        <v>234</v>
      </c>
      <c r="L9" s="127" t="s">
        <v>236</v>
      </c>
      <c r="M9" s="3">
        <f>H9-J8/J10-K8/K10+L8/2</f>
        <v>5.1924999999999999</v>
      </c>
      <c r="N9" s="3" t="s">
        <v>126</v>
      </c>
    </row>
    <row r="10" spans="1:16" x14ac:dyDescent="0.25">
      <c r="J10" s="3">
        <v>2</v>
      </c>
      <c r="K10" s="3">
        <v>2</v>
      </c>
      <c r="L10" s="3">
        <v>2</v>
      </c>
    </row>
    <row r="12" spans="1:16" ht="19.5" x14ac:dyDescent="0.35">
      <c r="D12" s="127" t="s">
        <v>97</v>
      </c>
      <c r="G12" s="1" t="s">
        <v>286</v>
      </c>
      <c r="I12" s="3">
        <f>H9</f>
        <v>5.4</v>
      </c>
      <c r="J12" s="127" t="s">
        <v>99</v>
      </c>
      <c r="K12" s="3">
        <f>H6/1000</f>
        <v>0.3</v>
      </c>
      <c r="L12" s="127" t="s">
        <v>76</v>
      </c>
      <c r="M12" s="3">
        <f>I12-K12</f>
        <v>5.1000000000000005</v>
      </c>
      <c r="N12" s="3" t="s">
        <v>50</v>
      </c>
    </row>
    <row r="14" spans="1:16" x14ac:dyDescent="0.25">
      <c r="D14" s="127" t="s">
        <v>237</v>
      </c>
      <c r="G14" s="131" t="s">
        <v>160</v>
      </c>
      <c r="H14" s="136">
        <f>M9</f>
        <v>5.1924999999999999</v>
      </c>
      <c r="I14" s="371" t="s">
        <v>99</v>
      </c>
      <c r="J14" s="136">
        <f>M12</f>
        <v>5.1000000000000005</v>
      </c>
      <c r="K14" s="3" t="s">
        <v>238</v>
      </c>
      <c r="L14" s="127" t="s">
        <v>76</v>
      </c>
      <c r="M14" s="132">
        <f>(H14-J14)/I15</f>
        <v>1.7814155031295013E-2</v>
      </c>
      <c r="N14" s="3" t="s">
        <v>101</v>
      </c>
    </row>
    <row r="15" spans="1:16" ht="16.5" thickBot="1" x14ac:dyDescent="0.3">
      <c r="I15" s="2">
        <f>M9</f>
        <v>5.1924999999999999</v>
      </c>
    </row>
    <row r="16" spans="1:16" x14ac:dyDescent="0.25">
      <c r="D16" s="326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9"/>
    </row>
    <row r="17" spans="2:17" x14ac:dyDescent="0.25">
      <c r="D17" s="330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3"/>
    </row>
    <row r="18" spans="2:17" x14ac:dyDescent="0.25">
      <c r="D18" s="330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3"/>
    </row>
    <row r="19" spans="2:17" x14ac:dyDescent="0.25"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3"/>
    </row>
    <row r="20" spans="2:17" x14ac:dyDescent="0.25">
      <c r="D20" s="330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3"/>
    </row>
    <row r="21" spans="2:17" x14ac:dyDescent="0.25">
      <c r="D21" s="330"/>
      <c r="E21" s="331"/>
      <c r="F21" s="331"/>
      <c r="G21" s="370" t="s">
        <v>517</v>
      </c>
      <c r="H21" s="331"/>
      <c r="I21" s="331"/>
      <c r="J21" s="331"/>
      <c r="K21" s="331"/>
      <c r="L21" s="331"/>
      <c r="M21" s="331"/>
      <c r="N21" s="331"/>
      <c r="O21" s="331"/>
      <c r="P21" s="333"/>
    </row>
    <row r="22" spans="2:17" x14ac:dyDescent="0.25">
      <c r="D22" s="330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3"/>
    </row>
    <row r="23" spans="2:17" x14ac:dyDescent="0.25">
      <c r="D23" s="330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3"/>
    </row>
    <row r="24" spans="2:17" x14ac:dyDescent="0.25">
      <c r="D24" s="330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3"/>
    </row>
    <row r="25" spans="2:17" x14ac:dyDescent="0.25">
      <c r="D25" s="330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3"/>
    </row>
    <row r="26" spans="2:17" ht="16.5" thickBot="1" x14ac:dyDescent="0.3">
      <c r="D26" s="334"/>
      <c r="E26" s="335"/>
      <c r="F26" s="335"/>
      <c r="G26" s="335"/>
      <c r="H26" s="335" t="s">
        <v>519</v>
      </c>
      <c r="I26" s="335"/>
      <c r="J26" s="335"/>
      <c r="K26" s="335"/>
      <c r="L26" s="335"/>
      <c r="M26" s="335"/>
      <c r="N26" s="335"/>
      <c r="O26" s="335"/>
      <c r="P26" s="337"/>
    </row>
    <row r="27" spans="2:17" x14ac:dyDescent="0.25">
      <c r="B27" s="126" t="s">
        <v>21</v>
      </c>
      <c r="C27" s="126" t="s">
        <v>104</v>
      </c>
    </row>
    <row r="28" spans="2:17" x14ac:dyDescent="0.25">
      <c r="C28" s="126" t="s">
        <v>239</v>
      </c>
    </row>
    <row r="29" spans="2:17" x14ac:dyDescent="0.25">
      <c r="D29" s="127" t="s">
        <v>240</v>
      </c>
      <c r="J29" s="3">
        <f>Bản!$M$5</f>
        <v>80</v>
      </c>
      <c r="K29" s="3" t="s">
        <v>241</v>
      </c>
    </row>
    <row r="30" spans="2:17" ht="19.5" x14ac:dyDescent="0.25">
      <c r="E30" s="2" t="s">
        <v>242</v>
      </c>
      <c r="G30" s="3">
        <f>Bản!$Q$11/1000</f>
        <v>0.22</v>
      </c>
      <c r="H30" s="2" t="s">
        <v>556</v>
      </c>
      <c r="I30" s="3">
        <f>Bản!$N$11/1000</f>
        <v>0.4</v>
      </c>
      <c r="J30" s="129" t="s">
        <v>99</v>
      </c>
      <c r="K30" s="3">
        <f>Bản!$M$5/1000</f>
        <v>0.08</v>
      </c>
      <c r="L30" s="3" t="s">
        <v>243</v>
      </c>
      <c r="M30" s="2">
        <v>25</v>
      </c>
      <c r="N30" s="3">
        <f>'Nhập dữ liệu'!G25</f>
        <v>1.1000000000000001</v>
      </c>
      <c r="O30" s="127" t="s">
        <v>76</v>
      </c>
      <c r="P30" s="3">
        <f>G30*(I30-K30)*M30*N30</f>
        <v>1.9360000000000002</v>
      </c>
      <c r="Q30" s="3" t="s">
        <v>131</v>
      </c>
    </row>
    <row r="31" spans="2:17" ht="19.5" x14ac:dyDescent="0.25">
      <c r="D31" s="127" t="s">
        <v>244</v>
      </c>
      <c r="G31" s="2" t="s">
        <v>245</v>
      </c>
      <c r="H31" s="133">
        <f>Bản!$F$48</f>
        <v>3.4510000000000005</v>
      </c>
      <c r="I31" s="134" t="s">
        <v>119</v>
      </c>
      <c r="J31" s="131">
        <f>'Nhập dữ liệu'!B13</f>
        <v>2.6</v>
      </c>
      <c r="K31" s="127" t="s">
        <v>76</v>
      </c>
      <c r="L31" s="135">
        <f>H31*J31</f>
        <v>8.9726000000000017</v>
      </c>
      <c r="M31" s="3" t="s">
        <v>131</v>
      </c>
    </row>
    <row r="32" spans="2:17" ht="19.5" x14ac:dyDescent="0.25">
      <c r="D32" s="127" t="s">
        <v>246</v>
      </c>
      <c r="G32" s="2" t="s">
        <v>247</v>
      </c>
      <c r="I32" s="3">
        <f>P30</f>
        <v>1.9360000000000002</v>
      </c>
      <c r="J32" s="129" t="s">
        <v>123</v>
      </c>
      <c r="K32" s="135">
        <f>L31</f>
        <v>8.9726000000000017</v>
      </c>
      <c r="L32" s="127" t="s">
        <v>76</v>
      </c>
      <c r="M32" s="135">
        <f>I32+K32</f>
        <v>10.908600000000002</v>
      </c>
      <c r="N32" s="3" t="s">
        <v>248</v>
      </c>
    </row>
    <row r="33" spans="2:17" x14ac:dyDescent="0.25">
      <c r="C33" s="126" t="s">
        <v>249</v>
      </c>
    </row>
    <row r="34" spans="2:17" ht="19.5" x14ac:dyDescent="0.25">
      <c r="D34" s="127" t="s">
        <v>250</v>
      </c>
      <c r="G34" s="2" t="s">
        <v>251</v>
      </c>
      <c r="I34" s="3">
        <f>Bản!$K$49</f>
        <v>6.6</v>
      </c>
      <c r="J34" s="134" t="s">
        <v>119</v>
      </c>
      <c r="K34" s="3">
        <f>'Nhập dữ liệu'!B13</f>
        <v>2.6</v>
      </c>
      <c r="L34" s="127" t="s">
        <v>76</v>
      </c>
      <c r="M34" s="135">
        <f>I34*K34</f>
        <v>17.16</v>
      </c>
      <c r="N34" s="3" t="s">
        <v>248</v>
      </c>
    </row>
    <row r="36" spans="2:17" ht="19.5" x14ac:dyDescent="0.35">
      <c r="C36" s="126" t="s">
        <v>252</v>
      </c>
      <c r="H36" s="1" t="s">
        <v>253</v>
      </c>
      <c r="J36" s="135">
        <f>M32</f>
        <v>10.908600000000002</v>
      </c>
      <c r="K36" s="127" t="s">
        <v>123</v>
      </c>
      <c r="L36" s="3">
        <f>M34</f>
        <v>17.16</v>
      </c>
      <c r="M36" s="127" t="s">
        <v>76</v>
      </c>
      <c r="N36" s="135">
        <f>J36+L36</f>
        <v>28.068600000000004</v>
      </c>
      <c r="O36" s="3" t="s">
        <v>248</v>
      </c>
    </row>
    <row r="38" spans="2:17" ht="19.5" x14ac:dyDescent="0.2">
      <c r="D38" s="127" t="s">
        <v>254</v>
      </c>
      <c r="E38" s="136" t="s">
        <v>255</v>
      </c>
      <c r="F38" s="137" t="s">
        <v>76</v>
      </c>
      <c r="G38" s="130">
        <f>M34</f>
        <v>17.16</v>
      </c>
      <c r="H38" s="137" t="s">
        <v>76</v>
      </c>
      <c r="I38" s="135">
        <f>G38/G39</f>
        <v>1.5730707881854682</v>
      </c>
    </row>
    <row r="39" spans="2:17" ht="19.5" x14ac:dyDescent="0.35">
      <c r="E39" s="128" t="s">
        <v>256</v>
      </c>
      <c r="G39" s="135">
        <f>M32</f>
        <v>10.908600000000002</v>
      </c>
    </row>
    <row r="40" spans="2:17" x14ac:dyDescent="0.25">
      <c r="B40" s="126" t="s">
        <v>257</v>
      </c>
    </row>
    <row r="41" spans="2:17" x14ac:dyDescent="0.25">
      <c r="C41" s="126" t="s">
        <v>258</v>
      </c>
    </row>
    <row r="42" spans="2:17" ht="19.5" x14ac:dyDescent="0.25">
      <c r="D42" s="127" t="s">
        <v>259</v>
      </c>
      <c r="J42" s="138">
        <v>2</v>
      </c>
    </row>
    <row r="43" spans="2:17" ht="19.5" x14ac:dyDescent="0.25">
      <c r="D43" s="129" t="s">
        <v>187</v>
      </c>
      <c r="E43" s="3" t="s">
        <v>260</v>
      </c>
      <c r="G43"/>
      <c r="I43" s="135">
        <f>N36</f>
        <v>28.068600000000004</v>
      </c>
      <c r="J43" s="3">
        <f>M9</f>
        <v>5.1924999999999999</v>
      </c>
      <c r="K43" s="129" t="s">
        <v>76</v>
      </c>
      <c r="L43" s="140" t="s">
        <v>261</v>
      </c>
      <c r="M43" s="3">
        <f>I43*J43*J43</f>
        <v>756.78717205875</v>
      </c>
      <c r="N43" s="3" t="s">
        <v>136</v>
      </c>
    </row>
    <row r="44" spans="2:17" ht="19.5" x14ac:dyDescent="0.25">
      <c r="D44" s="129"/>
      <c r="J44" s="138">
        <v>2</v>
      </c>
      <c r="K44" s="2"/>
      <c r="L44" s="140"/>
    </row>
    <row r="45" spans="2:17" ht="19.5" x14ac:dyDescent="0.25">
      <c r="D45" s="129" t="s">
        <v>187</v>
      </c>
      <c r="E45" s="3" t="s">
        <v>262</v>
      </c>
      <c r="G45"/>
      <c r="I45" s="135">
        <f>N36</f>
        <v>28.068600000000004</v>
      </c>
      <c r="J45" s="3">
        <f>M12</f>
        <v>5.1000000000000005</v>
      </c>
      <c r="K45" s="129" t="s">
        <v>76</v>
      </c>
      <c r="L45" s="140" t="s">
        <v>261</v>
      </c>
      <c r="M45" s="3">
        <f>I45*J45*J45</f>
        <v>730.06428600000027</v>
      </c>
      <c r="N45" s="3" t="s">
        <v>136</v>
      </c>
    </row>
    <row r="46" spans="2:17" ht="19.5" x14ac:dyDescent="0.25">
      <c r="L46" s="138">
        <v>2</v>
      </c>
    </row>
    <row r="47" spans="2:17" ht="19.5" x14ac:dyDescent="0.25">
      <c r="D47" s="127" t="s">
        <v>263</v>
      </c>
      <c r="I47"/>
      <c r="K47" s="135">
        <f>N36</f>
        <v>28.068600000000004</v>
      </c>
      <c r="L47" s="3">
        <f>J45</f>
        <v>5.1000000000000005</v>
      </c>
      <c r="M47" s="129" t="s">
        <v>76</v>
      </c>
      <c r="N47" s="140" t="s">
        <v>264</v>
      </c>
      <c r="O47" s="3">
        <f>K47*L47*L47</f>
        <v>730.06428600000027</v>
      </c>
      <c r="P47" s="3" t="s">
        <v>136</v>
      </c>
    </row>
    <row r="48" spans="2:17" ht="19.5" x14ac:dyDescent="0.35">
      <c r="D48" s="3" t="s">
        <v>268</v>
      </c>
      <c r="M48" s="141" t="s">
        <v>255</v>
      </c>
      <c r="N48" s="129" t="s">
        <v>184</v>
      </c>
      <c r="O48" s="142" t="s">
        <v>256</v>
      </c>
      <c r="P48" s="127" t="s">
        <v>76</v>
      </c>
      <c r="Q48" s="135">
        <f>I38</f>
        <v>1.5730707881854682</v>
      </c>
    </row>
    <row r="49" spans="4:10" ht="19.5" x14ac:dyDescent="0.35">
      <c r="D49" s="3" t="s">
        <v>265</v>
      </c>
      <c r="F49" s="369">
        <f>IF(Q48&lt;=0.5,0.167,IF(AND(Q48&gt;0.5,Q48&lt;1),0.167+(Q48-0.5)*0.066,IF(AND(Q48&gt;1,Q48&lt;1.5),0.2+(Q48-1)*0.056,IF(AND(Q48&gt;1.5,Q48&lt;2),0.228+(Q48-1.5)*0.044,IF(AND(Q48&gt;2,Q48&lt;2.5),0.25+(Q48-2)*0.04,IF(AND(Q48&gt;2.5,Q48&lt;3),0.27+(Q48-2.5)*0.03,IF(AND(Q48&gt;3,Q48&lt;4,0.285+(Q48-3)*0.058),IF(AND(Q48&gt;4,Q48&lt;5),0.314+(Q48-4)*0.6038,""))))))))</f>
        <v>0.23121511468016062</v>
      </c>
      <c r="G49" s="3" t="s">
        <v>266</v>
      </c>
      <c r="I49" s="139" t="s">
        <v>267</v>
      </c>
      <c r="J49" s="3" t="s">
        <v>527</v>
      </c>
    </row>
    <row r="51" spans="4:10" x14ac:dyDescent="0.25">
      <c r="D51" s="126" t="s">
        <v>528</v>
      </c>
    </row>
    <row r="53" spans="4:10" x14ac:dyDescent="0.25">
      <c r="D53" s="143"/>
      <c r="E53" s="144"/>
      <c r="F53" s="147" t="s">
        <v>271</v>
      </c>
      <c r="G53" s="148" t="s">
        <v>272</v>
      </c>
      <c r="H53" s="143" t="s">
        <v>280</v>
      </c>
      <c r="I53" s="144"/>
    </row>
    <row r="54" spans="4:10" ht="19.5" x14ac:dyDescent="0.35">
      <c r="D54" s="352" t="s">
        <v>269</v>
      </c>
      <c r="E54" s="146" t="s">
        <v>270</v>
      </c>
      <c r="F54" s="149" t="s">
        <v>273</v>
      </c>
      <c r="G54" s="149" t="s">
        <v>274</v>
      </c>
      <c r="H54" s="154" t="s">
        <v>281</v>
      </c>
      <c r="I54" s="154" t="s">
        <v>282</v>
      </c>
    </row>
    <row r="55" spans="4:10" x14ac:dyDescent="0.25">
      <c r="D55" s="147" t="s">
        <v>269</v>
      </c>
      <c r="E55" s="150" t="s">
        <v>275</v>
      </c>
      <c r="F55" s="153"/>
      <c r="G55" s="153"/>
      <c r="H55" s="152"/>
      <c r="I55" s="152"/>
    </row>
    <row r="56" spans="4:10" x14ac:dyDescent="0.25">
      <c r="D56" s="147" t="s">
        <v>276</v>
      </c>
      <c r="E56" s="150">
        <v>1</v>
      </c>
      <c r="F56" s="153"/>
      <c r="G56" s="153"/>
      <c r="H56" s="152"/>
      <c r="I56" s="152"/>
    </row>
    <row r="57" spans="4:10" x14ac:dyDescent="0.25">
      <c r="D57" s="147">
        <v>1</v>
      </c>
      <c r="E57" s="150"/>
      <c r="F57" s="153">
        <v>6.5000000000000002E-2</v>
      </c>
      <c r="G57" s="153"/>
      <c r="H57" s="152">
        <f>F57*M43</f>
        <v>49.191166183818751</v>
      </c>
      <c r="I57" s="152"/>
    </row>
    <row r="58" spans="4:10" x14ac:dyDescent="0.25">
      <c r="D58" s="147">
        <v>2</v>
      </c>
      <c r="E58" s="150"/>
      <c r="F58" s="153">
        <v>0.09</v>
      </c>
      <c r="G58" s="153"/>
      <c r="H58" s="152">
        <f>F58*M43</f>
        <v>68.110845485287498</v>
      </c>
      <c r="I58" s="152"/>
    </row>
    <row r="59" spans="4:10" x14ac:dyDescent="0.25">
      <c r="D59" s="147" t="s">
        <v>277</v>
      </c>
      <c r="E59" s="150"/>
      <c r="F59" s="153">
        <v>9.0999999999999998E-2</v>
      </c>
      <c r="G59" s="153"/>
      <c r="H59" s="152">
        <f>F59*M43</f>
        <v>68.867632657346249</v>
      </c>
      <c r="I59" s="152"/>
    </row>
    <row r="60" spans="4:10" x14ac:dyDescent="0.25">
      <c r="D60" s="147">
        <v>3</v>
      </c>
      <c r="E60" s="150"/>
      <c r="F60" s="153">
        <v>7.4999999999999997E-2</v>
      </c>
      <c r="G60" s="153"/>
      <c r="H60" s="152">
        <f>F60*M43</f>
        <v>56.759037904406249</v>
      </c>
      <c r="I60" s="152"/>
    </row>
    <row r="61" spans="4:10" x14ac:dyDescent="0.25">
      <c r="D61" s="147">
        <v>4</v>
      </c>
      <c r="E61" s="150"/>
      <c r="F61" s="153">
        <v>0.02</v>
      </c>
      <c r="G61" s="153"/>
      <c r="H61" s="152">
        <f>F61*M43</f>
        <v>15.135743441175</v>
      </c>
      <c r="I61" s="152"/>
    </row>
    <row r="62" spans="4:10" x14ac:dyDescent="0.25">
      <c r="D62" s="147" t="s">
        <v>278</v>
      </c>
      <c r="E62" s="150" t="s">
        <v>279</v>
      </c>
      <c r="F62" s="153"/>
      <c r="G62" s="153">
        <v>-7.1499999999999994E-2</v>
      </c>
      <c r="H62" s="152"/>
      <c r="I62" s="152">
        <f>G62*O47</f>
        <v>-52.199596449000012</v>
      </c>
    </row>
    <row r="63" spans="4:10" x14ac:dyDescent="0.25">
      <c r="D63" s="147" t="s">
        <v>269</v>
      </c>
      <c r="E63" s="150">
        <v>2</v>
      </c>
      <c r="F63" s="153"/>
      <c r="G63" s="153"/>
      <c r="H63" s="152"/>
      <c r="I63" s="152"/>
    </row>
    <row r="64" spans="4:10" x14ac:dyDescent="0.25">
      <c r="D64" s="147">
        <v>6</v>
      </c>
      <c r="E64" s="150"/>
      <c r="F64" s="153">
        <v>1.7999999999999999E-2</v>
      </c>
      <c r="G64" s="153">
        <f>IF(Q48&lt;=0.5,-0.01,IF(AND(Q48&gt;0.5,Q48&lt;1),-0.01*(1+(Q48-0.5)*2),IF(AND(Q48&gt;1,Q48&lt;1.5),-0.01*(2+(Q48-1)*1.2),IF(AND(Q48&gt;1.5,Q48&lt;2),-0.01*(2.6+(Q48-1.5)*0.8),IF(AND(Q48&gt;2,Q48&lt;2.5),-0.01*(3+(Q48-2)*0.6),IF(AND(Q48&gt;2.5,Q48&lt;3),-0.01*(3.3+(Q48-2.5)*0.4),IF(AND(Q48&gt;3,Q48&lt;4),-0.01*(3.5+(Q48-3)*0.6),IF(AND(Q48&gt;4,Q48&lt;5),-0.01*(3.8+(Q48-4)*0.4),""))))))))</f>
        <v>-2.6584566305483746E-2</v>
      </c>
      <c r="H64" s="152">
        <f>F64*M45</f>
        <v>13.141157148000003</v>
      </c>
      <c r="I64" s="152">
        <f>G64*O47</f>
        <v>-19.408442418432656</v>
      </c>
    </row>
    <row r="65" spans="3:13" x14ac:dyDescent="0.25">
      <c r="D65" s="147">
        <v>7</v>
      </c>
      <c r="E65" s="150"/>
      <c r="F65" s="153">
        <v>5.8000000000000003E-2</v>
      </c>
      <c r="G65" s="156">
        <f>IF(Q48&lt;=0.5,-0.01*(-2.2),IF(AND(Q48&gt;0.5,Q48&lt;1),-0.01*(-2.2+(Q48-0.5)*1.2),IF(AND(Q48&gt;1,Q48&lt;1.5),-0.01*(-1.6+(Q48-1)*3.8),IF(AND(Q48&gt;1.5,Q48&lt;2),-0.01*(0.3+(Q48-1.5)*1.2),IF(AND(Q48&gt;2,Q48&lt;2.5),-0.01*(0.9+(Q48-2)*0.6),IF(AND(Q48&gt;2.5,Q48&lt;3),-0.01*(1.2+(Q48-2.5)*0.6),IF(AND(Q48&gt;3,Q48&lt;4),-0.01*(1.6+(Q48-3)*1),IF(AND(Q48&gt;4,Q48&lt;5),-0.01*(2.1+(Q48-4)*0.6),""))))))))</f>
        <v>-3.876849458225618E-3</v>
      </c>
      <c r="H65" s="152">
        <f>F65*M45</f>
        <v>42.343728588000019</v>
      </c>
      <c r="I65" s="152">
        <f>G65*O47</f>
        <v>-2.8303493316489736</v>
      </c>
    </row>
    <row r="66" spans="3:13" x14ac:dyDescent="0.25">
      <c r="D66" s="223" t="s">
        <v>360</v>
      </c>
      <c r="E66" s="101"/>
      <c r="F66" s="224">
        <v>6.25E-2</v>
      </c>
      <c r="G66" s="224"/>
      <c r="H66" s="225">
        <f>F66*M45</f>
        <v>45.629017875000017</v>
      </c>
      <c r="I66" s="225"/>
    </row>
    <row r="67" spans="3:13" x14ac:dyDescent="0.25">
      <c r="D67" s="157" t="str">
        <f>IF(OR(G3=4,G3=5),"8","")</f>
        <v>8</v>
      </c>
      <c r="E67" s="158"/>
      <c r="F67" s="159">
        <f>IF(OR(G3=4,G3=5),0.058,"")</f>
        <v>5.8000000000000003E-2</v>
      </c>
      <c r="G67" s="159">
        <f>IF(G3&lt;4,"",IF(Q48&lt;=0.5,-0.01*(-2.4),IF(AND(Q48&gt;0.5,Q48&lt;1),-0.01*(-2.4+(Q48-0.5)*3),IF(AND(Q48&gt;1,Q48&lt;1.5),-0.01*(-0.9+(Q48-1)*1.8),IF(AND(Q48&gt;1.5,Q48&lt;2),-0.01*(0+(Q48-1.5)*1.2),IF(AND(Q48&gt;2,Q48&lt;2.5),-0.01*(0.6+(Q48-2)*0.6),IF(AND(Q48&gt;2.5,Q48&lt;3),-0.01*(0.9+(Q48-2.5)*1),IF(AND(Q48&gt;3,Q48&lt;4),-0.01*(1.4+(Q48-3)*0.8),IF(AND(Q48&gt;4,Q48&lt;5),-0.01*(1.8+(Q48-4)*0.6),"")))))))))</f>
        <v>-8.7684945822561822E-4</v>
      </c>
      <c r="H67" s="160">
        <f>IF(OR(G3=4,G3=5),F67*M45,"")</f>
        <v>42.343728588000019</v>
      </c>
      <c r="I67" s="160">
        <f>IF(G3&lt;4,"",G67*O47)</f>
        <v>-0.64015647364897299</v>
      </c>
    </row>
    <row r="68" spans="3:13" x14ac:dyDescent="0.25">
      <c r="D68" s="172" t="str">
        <f>IF(OR(G3=4,G3=5),"9","")</f>
        <v>9</v>
      </c>
      <c r="E68" s="161"/>
      <c r="F68" s="159">
        <f>IF(OR(G3=4,G3=5),0.018,"")</f>
        <v>1.7999999999999999E-2</v>
      </c>
      <c r="G68" s="173">
        <f>IF(G3&lt;4,"",IF(Q48&lt;=0.5,-0.01*(-0.4),IF(AND(Q48&gt;0.5,Q48&lt;1),-0.01*(-0.4+(Q48-0.5)*3.6),IF(AND(Q48&gt;1,Q48&lt;1.5),-0.01*(1.4+(Q48-1)*1.2),IF(AND(Q48&gt;1.5,Q48&lt;2),-0.01*(2+(Q48-1.5)*0.8),IF(AND(Q48&gt;2,Q48&lt;2.5),-0.01*(2.4+(Q48-2)*0.6),IF(AND(Q48&gt;2.5,Q48&lt;3),-0.01*(2.7+(Q48-2.5)*0.4),IF(AND(Q48&gt;3,Q48&lt;4),-0.01*(2.9+(Q48-3)*0.6),IF(AND(Q48&gt;4,Q48&lt;5),-0.01*(3.2+(Q48-4)*0.4),"")))))))))</f>
        <v>-2.0584566305483745E-2</v>
      </c>
      <c r="H68" s="160">
        <f>IF(OR(G3=4,G3=5),F68*M45,"")</f>
        <v>13.141157148000003</v>
      </c>
      <c r="I68" s="160">
        <f>IF(G3&lt;4,"",G68*O47)</f>
        <v>-15.028056702432654</v>
      </c>
    </row>
    <row r="69" spans="3:13" x14ac:dyDescent="0.25">
      <c r="D69" s="157" t="str">
        <f>IF(OR(G3=4,G3=5),"Gối 3  -","")</f>
        <v>Gối 3  -</v>
      </c>
      <c r="E69" s="158" t="str">
        <f>IF(OR(G3=4,G3=5),"td10","")</f>
        <v>td10</v>
      </c>
      <c r="F69" s="159"/>
      <c r="G69" s="159">
        <f>IF(OR(G3=4,G3=5),-0.0625,"")</f>
        <v>-6.25E-2</v>
      </c>
      <c r="H69" s="160"/>
      <c r="I69" s="160">
        <f>IF(G3&lt;4,"",G69*O47)</f>
        <v>-45.629017875000017</v>
      </c>
    </row>
    <row r="70" spans="3:13" x14ac:dyDescent="0.25">
      <c r="D70" s="162" t="str">
        <f>IF(G3=5,"Nhịp","")</f>
        <v/>
      </c>
      <c r="E70" s="163" t="str">
        <f>IF(G3=5,"giữa","")</f>
        <v/>
      </c>
      <c r="F70" s="164"/>
      <c r="G70" s="164"/>
      <c r="H70" s="165"/>
      <c r="I70" s="165"/>
    </row>
    <row r="71" spans="3:13" x14ac:dyDescent="0.25">
      <c r="D71" s="166" t="str">
        <f>IF(G3=5,"11","")</f>
        <v/>
      </c>
      <c r="E71" s="167"/>
      <c r="F71" s="164" t="str">
        <f>IF(G3=5,0.018,"")</f>
        <v/>
      </c>
      <c r="G71" s="168" t="str">
        <f>IF(G3&lt;5,"",IF(Q48&lt;=0.5,-0.01*(0.3),IF(AND(Q48&gt;0.5,Q48&lt;1),-0.01*(0.3+(Q48-0.5)*2),IF(AND(Q48&gt;1,Q48&lt;1.5),-0.01*(1.3+(Q48-1)*1.2),IF(AND(Q48&gt;1.5,Q48&lt;2),-0.01*(1.9+(Q48-1.5)*0.8),IF(AND(Q48&gt;2,Q48&lt;2.5),-0.01*(2.3+(Q48-2)*0.4),IF(AND(Q48&gt;2.5,Q48&lt;3),-0.01*(2.5+(Q48-2.5)*0.6),IF(AND(Q48&gt;3,Q48&lt;4),-0.01*(2.8+(Q48-3)*0.4),IF(AND(Q48&gt;4,Q48&lt;5),-0.01*(3+(Q48-4)*0.6),"")))))))))</f>
        <v/>
      </c>
      <c r="H71" s="165" t="str">
        <f>IF(G3=5,F71*M45,"")</f>
        <v/>
      </c>
      <c r="I71" s="165" t="str">
        <f>IF(G3&lt;5,"",G71*O47)</f>
        <v/>
      </c>
    </row>
    <row r="72" spans="3:13" x14ac:dyDescent="0.25">
      <c r="D72" s="162" t="str">
        <f>IF(G3=5,"12","")</f>
        <v/>
      </c>
      <c r="E72" s="169"/>
      <c r="F72" s="164" t="str">
        <f>IF(G3=5,0.058,"")</f>
        <v/>
      </c>
      <c r="G72" s="170" t="str">
        <f>IF(G3&lt;5,"",IF(Q48&lt;=0.5,-0.01*(-2.8),IF(AND(Q48&gt;0.5,Q48&lt;1),-0.01*(-2.8+(Q48-0.5)*3),IF(AND(Q48&gt;1,Q48&lt;1.5),-0.01*(-1.3+(Q48-1)*3.4),IF(AND(Q48&gt;1.5,Q48&lt;2),-0.01*(0.4+(Q48-1.5)*(-0.2)),IF(AND(Q48&gt;2,Q48&lt;2.5),-0.01*(0.3+(Q48-2)*0.6),IF(AND(Q48&gt;2.5,Q48&lt;3),-0.01*(0.6+(Q48-2.5)*0.8),IF(AND(Q48&gt;3,Q48&lt;4),-0.01*(1+(Q48-3)*1),IF(AND(Q48&gt;4,Q48&lt;5),-0.01*(1.5+(Q48-4)*0.6),"")))))))))</f>
        <v/>
      </c>
      <c r="H72" s="165" t="str">
        <f>IF(G3=5,F72*M45,"")</f>
        <v/>
      </c>
      <c r="I72" s="165" t="str">
        <f>IF(G3&lt;5,"",G72*O47)</f>
        <v/>
      </c>
    </row>
    <row r="73" spans="3:13" x14ac:dyDescent="0.25">
      <c r="D73" s="162" t="str">
        <f>IF(G3=5,"0,5.l","")</f>
        <v/>
      </c>
      <c r="E73" s="163"/>
      <c r="F73" s="164" t="str">
        <f>IF(G3=5,0.0625,"")</f>
        <v/>
      </c>
      <c r="G73" s="171" t="str">
        <f>G72</f>
        <v/>
      </c>
      <c r="H73" s="165" t="str">
        <f>IF(G3=5,F73*M45,"")</f>
        <v/>
      </c>
      <c r="I73" s="165" t="str">
        <f>IF(G3&lt;5,"",G73*O47)</f>
        <v/>
      </c>
    </row>
    <row r="75" spans="3:13" x14ac:dyDescent="0.25">
      <c r="D75" s="127" t="s">
        <v>283</v>
      </c>
    </row>
    <row r="76" spans="3:13" ht="19.5" x14ac:dyDescent="0.25">
      <c r="D76" s="129" t="s">
        <v>187</v>
      </c>
      <c r="E76" s="3" t="s">
        <v>260</v>
      </c>
      <c r="G76" s="2" t="s">
        <v>287</v>
      </c>
      <c r="H76" s="3">
        <v>0.15</v>
      </c>
      <c r="I76" s="134" t="s">
        <v>119</v>
      </c>
      <c r="J76" s="3">
        <f>M9</f>
        <v>5.1924999999999999</v>
      </c>
      <c r="K76" s="127" t="s">
        <v>76</v>
      </c>
      <c r="L76" s="135">
        <f>H76*J76</f>
        <v>0.77887499999999998</v>
      </c>
      <c r="M76" s="3" t="s">
        <v>46</v>
      </c>
    </row>
    <row r="77" spans="3:13" ht="19.5" x14ac:dyDescent="0.25">
      <c r="D77" s="129" t="s">
        <v>187</v>
      </c>
      <c r="E77" s="3" t="s">
        <v>262</v>
      </c>
      <c r="G77" s="2" t="s">
        <v>288</v>
      </c>
      <c r="H77" s="3">
        <v>0.15</v>
      </c>
      <c r="I77" s="134" t="s">
        <v>119</v>
      </c>
      <c r="J77" s="3">
        <f>M12</f>
        <v>5.1000000000000005</v>
      </c>
      <c r="K77" s="127" t="s">
        <v>76</v>
      </c>
      <c r="L77" s="135">
        <f>H77*J77</f>
        <v>0.76500000000000001</v>
      </c>
      <c r="M77" s="3" t="s">
        <v>46</v>
      </c>
    </row>
    <row r="78" spans="3:13" x14ac:dyDescent="0.25">
      <c r="D78" s="127" t="s">
        <v>284</v>
      </c>
    </row>
    <row r="79" spans="3:13" ht="19.5" x14ac:dyDescent="0.35">
      <c r="E79" s="1" t="s">
        <v>285</v>
      </c>
      <c r="G79" s="174">
        <f>F49</f>
        <v>0.23121511468016062</v>
      </c>
      <c r="H79" s="175" t="s">
        <v>119</v>
      </c>
      <c r="I79" s="3">
        <f>M9</f>
        <v>5.1924999999999999</v>
      </c>
      <c r="J79" s="127" t="s">
        <v>76</v>
      </c>
      <c r="K79" s="3">
        <f>G79*I79</f>
        <v>1.200584482976734</v>
      </c>
      <c r="L79" s="3" t="s">
        <v>46</v>
      </c>
    </row>
    <row r="80" spans="3:13" x14ac:dyDescent="0.25">
      <c r="C80" s="126" t="s">
        <v>289</v>
      </c>
    </row>
    <row r="81" spans="2:15" x14ac:dyDescent="0.25">
      <c r="E81"/>
      <c r="G81" s="135">
        <f>N36</f>
        <v>28.068600000000004</v>
      </c>
      <c r="H81" s="3">
        <f>M9</f>
        <v>5.1924999999999999</v>
      </c>
      <c r="I81" s="127" t="s">
        <v>76</v>
      </c>
      <c r="J81" s="3">
        <f>G81*H81*0.4</f>
        <v>58.298482200000002</v>
      </c>
      <c r="K81" s="3" t="s">
        <v>290</v>
      </c>
    </row>
    <row r="83" spans="2:15" x14ac:dyDescent="0.25">
      <c r="E83"/>
      <c r="G83" s="135">
        <f>G81</f>
        <v>28.068600000000004</v>
      </c>
      <c r="H83" s="3">
        <f>H81</f>
        <v>5.1924999999999999</v>
      </c>
      <c r="I83" s="3" t="str">
        <f>I81</f>
        <v>=</v>
      </c>
      <c r="J83" s="135">
        <f>G83*H83*0.6</f>
        <v>87.447723299999993</v>
      </c>
      <c r="K83" s="3" t="s">
        <v>290</v>
      </c>
    </row>
    <row r="85" spans="2:15" x14ac:dyDescent="0.25">
      <c r="E85"/>
      <c r="G85" s="135">
        <f>G83</f>
        <v>28.068600000000004</v>
      </c>
      <c r="H85" s="3">
        <f>M12</f>
        <v>5.1000000000000005</v>
      </c>
      <c r="I85" s="127" t="s">
        <v>76</v>
      </c>
      <c r="J85" s="3">
        <f>G85*H85/2</f>
        <v>71.574930000000023</v>
      </c>
      <c r="K85" s="3" t="s">
        <v>290</v>
      </c>
    </row>
    <row r="86" spans="2:15" x14ac:dyDescent="0.25">
      <c r="B86" s="126" t="s">
        <v>291</v>
      </c>
    </row>
    <row r="87" spans="2:15" ht="19.5" x14ac:dyDescent="0.25">
      <c r="D87" s="3" t="s">
        <v>295</v>
      </c>
      <c r="G87" s="3">
        <f>'Nhập dữ liệu'!J13</f>
        <v>15</v>
      </c>
      <c r="H87" s="2" t="s">
        <v>293</v>
      </c>
      <c r="I87" s="3">
        <f>'Số liệu tính'!E52</f>
        <v>8.5</v>
      </c>
      <c r="J87" s="3" t="s">
        <v>294</v>
      </c>
      <c r="K87" s="155" t="s">
        <v>61</v>
      </c>
      <c r="L87" s="3">
        <f>'Số liệu tính'!H52</f>
        <v>0.75</v>
      </c>
      <c r="M87" s="3" t="s">
        <v>64</v>
      </c>
    </row>
    <row r="88" spans="2:15" ht="19.5" x14ac:dyDescent="0.35">
      <c r="E88" s="131" t="s">
        <v>296</v>
      </c>
      <c r="F88" s="3" t="str">
        <f>'Số liệu tính'!G54</f>
        <v>CII</v>
      </c>
      <c r="G88" s="1" t="s">
        <v>292</v>
      </c>
      <c r="H88" s="3">
        <f>'Số liệu tính'!J54</f>
        <v>280</v>
      </c>
      <c r="I88" s="3" t="s">
        <v>64</v>
      </c>
      <c r="J88" s="155" t="s">
        <v>67</v>
      </c>
      <c r="K88" s="3">
        <f>'Số liệu tính'!M54</f>
        <v>280</v>
      </c>
      <c r="L88" s="3" t="s">
        <v>64</v>
      </c>
    </row>
    <row r="89" spans="2:15" ht="19.5" x14ac:dyDescent="0.25">
      <c r="E89" s="131" t="s">
        <v>297</v>
      </c>
      <c r="F89" s="3" t="str">
        <f>'Số liệu tính'!G53</f>
        <v>CI</v>
      </c>
      <c r="G89" s="155" t="s">
        <v>298</v>
      </c>
      <c r="H89" s="3">
        <f>'Số liệu tính'!P53</f>
        <v>175</v>
      </c>
      <c r="I89" s="3" t="s">
        <v>64</v>
      </c>
    </row>
    <row r="90" spans="2:15" x14ac:dyDescent="0.25">
      <c r="C90" s="126" t="s">
        <v>299</v>
      </c>
    </row>
    <row r="91" spans="2:15" x14ac:dyDescent="0.25">
      <c r="D91" s="3" t="s">
        <v>300</v>
      </c>
      <c r="G91" s="2" t="s">
        <v>301</v>
      </c>
      <c r="H91" s="3">
        <f>Bản!Q11</f>
        <v>220</v>
      </c>
      <c r="I91" s="3" t="s">
        <v>77</v>
      </c>
      <c r="J91" s="2" t="s">
        <v>302</v>
      </c>
      <c r="K91" s="3">
        <f>Bản!N11</f>
        <v>400</v>
      </c>
      <c r="L91" s="3" t="s">
        <v>80</v>
      </c>
    </row>
    <row r="92" spans="2:15" ht="19.5" x14ac:dyDescent="0.35">
      <c r="E92" s="131" t="s">
        <v>303</v>
      </c>
      <c r="F92" s="24">
        <v>30</v>
      </c>
      <c r="G92" s="3" t="s">
        <v>304</v>
      </c>
      <c r="H92" s="128" t="s">
        <v>305</v>
      </c>
      <c r="I92" s="3">
        <f>K91</f>
        <v>400</v>
      </c>
      <c r="J92" s="129" t="s">
        <v>99</v>
      </c>
      <c r="K92" s="3">
        <f>F92</f>
        <v>30</v>
      </c>
      <c r="L92" s="127" t="s">
        <v>76</v>
      </c>
      <c r="M92" s="3">
        <f>I92-K92</f>
        <v>370</v>
      </c>
      <c r="N92" s="3" t="s">
        <v>80</v>
      </c>
    </row>
    <row r="93" spans="2:15" x14ac:dyDescent="0.25">
      <c r="C93" s="126" t="s">
        <v>139</v>
      </c>
      <c r="D93" s="126" t="s">
        <v>306</v>
      </c>
      <c r="F93" s="126">
        <f>ABS(I62)</f>
        <v>52.199596449000012</v>
      </c>
      <c r="G93" s="126" t="s">
        <v>307</v>
      </c>
    </row>
    <row r="94" spans="2:15" x14ac:dyDescent="0.25">
      <c r="G94" s="135">
        <f>F93</f>
        <v>52.199596449000012</v>
      </c>
      <c r="H94" s="134" t="s">
        <v>119</v>
      </c>
      <c r="I94" s="3">
        <v>1000000</v>
      </c>
    </row>
    <row r="95" spans="2:15" x14ac:dyDescent="0.25">
      <c r="F95" s="127" t="s">
        <v>362</v>
      </c>
      <c r="K95" s="135">
        <f>G94*I94/(F96*G96*H96*H96)</f>
        <v>0.2039022841490139</v>
      </c>
      <c r="L95" s="3" t="str">
        <f>IF(K95&lt;0.225,"&lt;",IF(K95=0.225,"=","&gt;"))</f>
        <v>&lt;</v>
      </c>
      <c r="O95" s="221" t="str">
        <f>IF(K95&gt;0.3,"{Tiết diện dầm phụ chưa hợp lý, nên tăng chiều cao của dầm phụ và tính lại cốt thép dọc}","")</f>
        <v/>
      </c>
    </row>
    <row r="96" spans="2:15" ht="18" x14ac:dyDescent="0.25">
      <c r="F96" s="2">
        <f>I87</f>
        <v>8.5</v>
      </c>
      <c r="G96" s="2">
        <f>H91</f>
        <v>220</v>
      </c>
      <c r="H96" s="131">
        <f>M92</f>
        <v>370</v>
      </c>
      <c r="I96" s="178">
        <v>2</v>
      </c>
    </row>
    <row r="99" spans="3:15" x14ac:dyDescent="0.25">
      <c r="H99" s="179">
        <f>K95</f>
        <v>0.2039022841490139</v>
      </c>
      <c r="I99" s="127" t="s">
        <v>76</v>
      </c>
      <c r="J99" s="135">
        <f>0.5*(1+SQRT(1-2*H99))</f>
        <v>0.88477117605856737</v>
      </c>
    </row>
    <row r="101" spans="3:15" x14ac:dyDescent="0.25">
      <c r="F101" s="135">
        <f>F93</f>
        <v>52.199596449000012</v>
      </c>
      <c r="G101" s="134" t="s">
        <v>119</v>
      </c>
      <c r="H101" s="180">
        <f>1000000</f>
        <v>1000000</v>
      </c>
    </row>
    <row r="102" spans="3:15" ht="18" x14ac:dyDescent="0.2">
      <c r="F102" s="127" t="s">
        <v>361</v>
      </c>
      <c r="I102" s="180">
        <f>F101*H101/(F103*G103*H103)</f>
        <v>569.47730917912315</v>
      </c>
      <c r="J102" s="76" t="s">
        <v>154</v>
      </c>
    </row>
    <row r="103" spans="3:15" x14ac:dyDescent="0.25">
      <c r="F103" s="3">
        <f>H88</f>
        <v>280</v>
      </c>
      <c r="G103" s="135">
        <f>J99</f>
        <v>0.88477117605856737</v>
      </c>
      <c r="H103" s="3">
        <f>M92</f>
        <v>370</v>
      </c>
    </row>
    <row r="105" spans="3:15" x14ac:dyDescent="0.25">
      <c r="H105" s="180">
        <f>I102</f>
        <v>569.47730917912315</v>
      </c>
    </row>
    <row r="106" spans="3:15" ht="18" x14ac:dyDescent="0.25">
      <c r="G106" s="127" t="s">
        <v>309</v>
      </c>
      <c r="K106" s="127" t="s">
        <v>76</v>
      </c>
      <c r="L106" s="181">
        <f>H105/(G107*I107)</f>
        <v>6.9960357393012672E-3</v>
      </c>
      <c r="N106" s="177"/>
      <c r="O106" s="222" t="str">
        <f>IF(L106&lt;0.001,"{ tại tiết diện bất kỳ của dầm phải không nhỏ hơn 0.1 %}","")</f>
        <v/>
      </c>
    </row>
    <row r="107" spans="3:15" x14ac:dyDescent="0.25">
      <c r="G107" s="2">
        <f>H91</f>
        <v>220</v>
      </c>
      <c r="H107" s="2" t="s">
        <v>119</v>
      </c>
      <c r="I107" s="3">
        <f>M92</f>
        <v>370</v>
      </c>
    </row>
    <row r="108" spans="3:15" x14ac:dyDescent="0.25">
      <c r="C108" s="184" t="str">
        <f>IF(G3&gt;3,"* Tại gối 3, với M =","")</f>
        <v>* Tại gối 3, với M =</v>
      </c>
      <c r="D108" s="184"/>
      <c r="E108" s="182"/>
      <c r="F108" s="231">
        <f>IF(G3&gt;3,ABS(I69),"")</f>
        <v>45.629017875000017</v>
      </c>
      <c r="G108" s="184" t="str">
        <f>IF(G3&gt;3,"kNm;","")</f>
        <v>kNm;</v>
      </c>
      <c r="H108" s="182"/>
      <c r="I108" s="182"/>
      <c r="J108" s="182"/>
      <c r="K108" s="182"/>
      <c r="L108" s="182"/>
      <c r="M108" s="182"/>
      <c r="N108" s="182"/>
      <c r="O108" s="182"/>
    </row>
    <row r="109" spans="3:15" x14ac:dyDescent="0.25">
      <c r="C109" s="184"/>
      <c r="D109" s="182"/>
      <c r="E109" s="185" t="str">
        <f>IF(G3&gt;3,"a =","")</f>
        <v>a =</v>
      </c>
      <c r="F109" s="186">
        <f>IF(G3&gt;3,(F108*1000000/(I87*H91*M92*M92)),"")</f>
        <v>0.17823626236801918</v>
      </c>
      <c r="G109" s="185" t="str">
        <f>IF(G3&gt;3,";       z =","")</f>
        <v>;       z =</v>
      </c>
      <c r="H109" s="187">
        <f>IF(G3&gt;3,(0.5*(1+SQRT(1-2*F109))),"")</f>
        <v>0.90110082126067814</v>
      </c>
      <c r="I109" s="188" t="str">
        <f>IF(G3&gt;3,";       As =","")</f>
        <v>;       As =</v>
      </c>
      <c r="J109" s="189">
        <f>IF(G3&gt;3,((F108*1000000)/(H88*H109*M92)),"")</f>
        <v>488.77386978383458</v>
      </c>
      <c r="K109" s="182" t="str">
        <f>IF(G3&gt;3,"mm^2 ;","")</f>
        <v>mm^2 ;</v>
      </c>
      <c r="L109" s="185" t="str">
        <f>IF(G3&gt;3,";       m% =","")</f>
        <v>;       m% =</v>
      </c>
      <c r="M109" s="190">
        <f>IF(G3&gt;3,(J109/(H91*K91)),"")</f>
        <v>5.5542485202708476E-3</v>
      </c>
      <c r="N109" s="182"/>
      <c r="O109" s="182"/>
    </row>
    <row r="110" spans="3:15" x14ac:dyDescent="0.25">
      <c r="C110" s="126" t="s">
        <v>310</v>
      </c>
    </row>
    <row r="111" spans="3:15" ht="19.5" x14ac:dyDescent="0.25">
      <c r="D111" s="3" t="s">
        <v>311</v>
      </c>
      <c r="K111" s="194" t="s">
        <v>326</v>
      </c>
      <c r="L111" s="3">
        <f>Bản!M5</f>
        <v>80</v>
      </c>
      <c r="M111" s="3" t="s">
        <v>77</v>
      </c>
    </row>
    <row r="112" spans="3:15" ht="19.5" x14ac:dyDescent="0.35">
      <c r="E112" s="131" t="s">
        <v>303</v>
      </c>
      <c r="F112" s="24">
        <v>30</v>
      </c>
      <c r="G112" s="3" t="s">
        <v>304</v>
      </c>
      <c r="H112" s="128" t="s">
        <v>305</v>
      </c>
      <c r="I112" s="3">
        <f>I92</f>
        <v>400</v>
      </c>
      <c r="J112" s="129" t="s">
        <v>99</v>
      </c>
      <c r="K112" s="3">
        <f>F112</f>
        <v>30</v>
      </c>
      <c r="L112" s="127" t="s">
        <v>76</v>
      </c>
      <c r="M112" s="3">
        <f>I112-K112</f>
        <v>370</v>
      </c>
      <c r="N112" s="3" t="s">
        <v>80</v>
      </c>
    </row>
    <row r="113" spans="3:16" ht="19.5" x14ac:dyDescent="0.35">
      <c r="D113" s="3" t="s">
        <v>312</v>
      </c>
      <c r="F113" s="1" t="s">
        <v>313</v>
      </c>
      <c r="G113" s="3" t="s">
        <v>314</v>
      </c>
    </row>
    <row r="115" spans="3:16" ht="19.5" x14ac:dyDescent="0.35">
      <c r="D115" s="129" t="s">
        <v>315</v>
      </c>
      <c r="E115" s="1" t="s">
        <v>316</v>
      </c>
      <c r="F115" s="191">
        <f>1/6</f>
        <v>0.16666666666666666</v>
      </c>
      <c r="G115" s="3">
        <f>M12</f>
        <v>5.1000000000000005</v>
      </c>
      <c r="H115" s="127" t="s">
        <v>76</v>
      </c>
      <c r="I115" s="135">
        <f>G115/6</f>
        <v>0.85000000000000009</v>
      </c>
      <c r="J115" s="3" t="s">
        <v>46</v>
      </c>
    </row>
    <row r="116" spans="3:16" x14ac:dyDescent="0.25">
      <c r="D116" s="129" t="s">
        <v>315</v>
      </c>
      <c r="E116" s="3" t="s">
        <v>317</v>
      </c>
    </row>
    <row r="117" spans="3:16" ht="19.5" x14ac:dyDescent="0.35">
      <c r="E117" s="1" t="s">
        <v>318</v>
      </c>
      <c r="F117" s="3">
        <v>0.5</v>
      </c>
      <c r="G117" s="3">
        <f>Bản!L29</f>
        <v>2.38</v>
      </c>
      <c r="H117" s="127" t="s">
        <v>76</v>
      </c>
      <c r="I117" s="3">
        <f>G117/2</f>
        <v>1.19</v>
      </c>
      <c r="J117" s="3" t="s">
        <v>46</v>
      </c>
    </row>
    <row r="118" spans="3:16" ht="19.5" x14ac:dyDescent="0.25">
      <c r="E118" s="131" t="s">
        <v>319</v>
      </c>
      <c r="F118" s="183">
        <f>I115</f>
        <v>0.85000000000000009</v>
      </c>
      <c r="G118" s="3" t="s">
        <v>320</v>
      </c>
      <c r="H118" s="3">
        <f>I117</f>
        <v>1.19</v>
      </c>
      <c r="I118" s="3" t="s">
        <v>321</v>
      </c>
      <c r="J118" s="135">
        <f>MIN(F118,H118)</f>
        <v>0.85000000000000009</v>
      </c>
      <c r="K118" s="3" t="s">
        <v>50</v>
      </c>
    </row>
    <row r="119" spans="3:16" ht="19.5" x14ac:dyDescent="0.35">
      <c r="D119" s="1" t="s">
        <v>322</v>
      </c>
      <c r="F119" s="180">
        <f>J118*1000</f>
        <v>850.00000000000011</v>
      </c>
      <c r="G119" s="3" t="s">
        <v>80</v>
      </c>
    </row>
    <row r="120" spans="3:16" ht="19.5" x14ac:dyDescent="0.25">
      <c r="D120" s="3" t="s">
        <v>323</v>
      </c>
      <c r="G120" s="3">
        <f>H91</f>
        <v>220</v>
      </c>
      <c r="H120" s="129" t="s">
        <v>123</v>
      </c>
      <c r="I120" s="180">
        <f>2*J118*1000</f>
        <v>1700.0000000000002</v>
      </c>
      <c r="J120" s="127" t="s">
        <v>76</v>
      </c>
      <c r="K120" s="180">
        <f>G120+I120</f>
        <v>1920.0000000000002</v>
      </c>
      <c r="L120" s="3" t="s">
        <v>80</v>
      </c>
    </row>
    <row r="121" spans="3:16" ht="19.5" x14ac:dyDescent="0.25">
      <c r="D121" s="3" t="s">
        <v>324</v>
      </c>
    </row>
    <row r="122" spans="3:16" ht="19.5" x14ac:dyDescent="0.25">
      <c r="D122" s="194" t="s">
        <v>325</v>
      </c>
      <c r="E122" s="3">
        <f>I87</f>
        <v>8.5</v>
      </c>
      <c r="F122" s="180">
        <f>K120</f>
        <v>1920.0000000000002</v>
      </c>
      <c r="G122" s="3">
        <f>L111</f>
        <v>80</v>
      </c>
      <c r="H122" s="3" t="s">
        <v>160</v>
      </c>
      <c r="I122" s="3">
        <f>M112</f>
        <v>370</v>
      </c>
      <c r="J122" s="127" t="s">
        <v>327</v>
      </c>
      <c r="K122" s="3">
        <f>L111</f>
        <v>80</v>
      </c>
      <c r="L122" s="3" t="s">
        <v>328</v>
      </c>
      <c r="M122" s="192">
        <f>E122*F122*G122*(I122-K122/2)</f>
        <v>430848000.00000006</v>
      </c>
      <c r="N122" s="3" t="s">
        <v>329</v>
      </c>
    </row>
    <row r="123" spans="3:16" ht="19.5" x14ac:dyDescent="0.25">
      <c r="D123" s="3" t="s">
        <v>330</v>
      </c>
      <c r="F123" s="135">
        <f>(H59)</f>
        <v>68.867632657346249</v>
      </c>
      <c r="G123" s="3" t="s">
        <v>136</v>
      </c>
      <c r="H123" s="3" t="str">
        <f>IF(F123&lt;M122/1000000,"&lt;",IF(F123=M122/1000000,"=","&gt;"))</f>
        <v>&lt;</v>
      </c>
      <c r="I123" s="194" t="s">
        <v>325</v>
      </c>
      <c r="J123" s="135">
        <f>M122/1000000</f>
        <v>430.84800000000007</v>
      </c>
      <c r="K123" s="3" t="s">
        <v>136</v>
      </c>
    </row>
    <row r="124" spans="3:16" x14ac:dyDescent="0.25">
      <c r="D124" s="127" t="s">
        <v>331</v>
      </c>
      <c r="F124" s="3" t="str">
        <f>IF(H123="&lt;","đi qua cánh.","điquasườn.")</f>
        <v>đi qua cánh.</v>
      </c>
    </row>
    <row r="125" spans="3:16" ht="19.5" x14ac:dyDescent="0.35">
      <c r="D125" s="3" t="s">
        <v>332</v>
      </c>
      <c r="H125" s="180">
        <f>K120</f>
        <v>1920.0000000000002</v>
      </c>
      <c r="I125" s="3" t="s">
        <v>333</v>
      </c>
      <c r="J125" s="3">
        <f>K91</f>
        <v>400</v>
      </c>
      <c r="K125" s="3" t="s">
        <v>334</v>
      </c>
      <c r="L125" s="3">
        <f>F112</f>
        <v>30</v>
      </c>
      <c r="M125" s="1" t="s">
        <v>335</v>
      </c>
      <c r="N125" s="3">
        <f>M112</f>
        <v>370</v>
      </c>
      <c r="O125" s="3" t="s">
        <v>80</v>
      </c>
    </row>
    <row r="126" spans="3:16" ht="20.25" x14ac:dyDescent="0.35">
      <c r="C126" s="126" t="s">
        <v>336</v>
      </c>
      <c r="F126" s="62" t="s">
        <v>337</v>
      </c>
      <c r="G126" s="195">
        <f>F123</f>
        <v>68.867632657346249</v>
      </c>
      <c r="H126" s="126" t="s">
        <v>338</v>
      </c>
    </row>
    <row r="127" spans="3:16" x14ac:dyDescent="0.25">
      <c r="D127" s="196"/>
      <c r="E127" s="176"/>
      <c r="F127" s="176"/>
      <c r="G127" s="176"/>
      <c r="H127" s="207">
        <f>G126</f>
        <v>68.867632657346249</v>
      </c>
      <c r="I127" s="198" t="s">
        <v>119</v>
      </c>
      <c r="J127" s="228">
        <v>1000000</v>
      </c>
      <c r="K127" s="176"/>
      <c r="L127" s="176"/>
      <c r="M127" s="176"/>
      <c r="N127" s="176"/>
      <c r="O127" s="176"/>
      <c r="P127" s="176"/>
    </row>
    <row r="128" spans="3:16" x14ac:dyDescent="0.25">
      <c r="D128" s="176"/>
      <c r="E128" s="176"/>
      <c r="F128" s="176"/>
      <c r="G128" s="417" t="s">
        <v>308</v>
      </c>
      <c r="H128" s="417"/>
      <c r="I128" s="417"/>
      <c r="J128" s="417"/>
      <c r="K128" s="417"/>
      <c r="L128" s="204">
        <f>H127*J127/(G129*H129*I129*I129)</f>
        <v>1.9515922915645422E-2</v>
      </c>
      <c r="M128" s="197" t="s">
        <v>339</v>
      </c>
      <c r="N128" s="176"/>
      <c r="O128" s="176"/>
      <c r="P128" s="221" t="str">
        <f>IF(L128&gt;0.3,"{Tiết diện dầm phụ chưa hợp lý, nên tăng chiều cao của dầm phụ và tính lại cốt thép dọc}","")</f>
        <v/>
      </c>
    </row>
    <row r="129" spans="2:16" ht="18" x14ac:dyDescent="0.25">
      <c r="D129" s="176"/>
      <c r="E129" s="176"/>
      <c r="F129" s="176"/>
      <c r="G129" s="199">
        <v>8.5</v>
      </c>
      <c r="H129" s="226">
        <f>H125</f>
        <v>1920.0000000000002</v>
      </c>
      <c r="I129" s="200">
        <v>465</v>
      </c>
      <c r="J129" s="203">
        <v>2</v>
      </c>
      <c r="K129" s="176"/>
      <c r="L129" s="176"/>
      <c r="M129" s="176"/>
      <c r="N129" s="176"/>
      <c r="O129" s="176"/>
      <c r="P129" s="176"/>
    </row>
    <row r="130" spans="2:16" x14ac:dyDescent="0.25"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</row>
    <row r="131" spans="2:16" ht="16.5" thickBot="1" x14ac:dyDescent="0.3"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</row>
    <row r="132" spans="2:16" ht="16.5" thickBot="1" x14ac:dyDescent="0.3">
      <c r="D132" s="176"/>
      <c r="E132" s="176"/>
      <c r="F132" s="176"/>
      <c r="G132" s="176"/>
      <c r="H132" s="176"/>
      <c r="I132" s="205">
        <f>L128</f>
        <v>1.9515922915645422E-2</v>
      </c>
      <c r="J132" s="197" t="s">
        <v>76</v>
      </c>
      <c r="K132" s="204">
        <f>0.5*(1+SQRT(1-2*I132))</f>
        <v>0.99014491585874609</v>
      </c>
      <c r="L132" s="176"/>
      <c r="M132" s="176"/>
      <c r="N132" s="176"/>
      <c r="O132" s="176"/>
      <c r="P132" s="176"/>
    </row>
    <row r="133" spans="2:16" x14ac:dyDescent="0.25"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</row>
    <row r="134" spans="2:16" x14ac:dyDescent="0.25">
      <c r="D134" s="176"/>
      <c r="E134" s="417"/>
      <c r="F134" s="417"/>
      <c r="G134" s="204">
        <f>G126</f>
        <v>68.867632657346249</v>
      </c>
      <c r="H134" s="198" t="s">
        <v>119</v>
      </c>
      <c r="I134" s="197">
        <v>1000000</v>
      </c>
      <c r="J134" s="176"/>
      <c r="K134" s="176"/>
      <c r="L134" s="176"/>
      <c r="M134" s="176"/>
      <c r="N134" s="176"/>
      <c r="O134" s="176"/>
      <c r="P134" s="176"/>
    </row>
    <row r="135" spans="2:16" ht="18" x14ac:dyDescent="0.25">
      <c r="D135" s="176"/>
      <c r="E135" s="417"/>
      <c r="F135" s="417"/>
      <c r="G135" s="418" t="s">
        <v>342</v>
      </c>
      <c r="H135" s="417"/>
      <c r="I135" s="417"/>
      <c r="J135" s="206">
        <f>G134*I134/(G136*H136*I136)</f>
        <v>671.36181615798569</v>
      </c>
      <c r="K135" s="201" t="s">
        <v>340</v>
      </c>
      <c r="L135" s="176"/>
      <c r="M135" s="176"/>
      <c r="N135" s="176"/>
      <c r="O135" s="176"/>
      <c r="P135" s="176"/>
    </row>
    <row r="136" spans="2:16" x14ac:dyDescent="0.25">
      <c r="D136" s="176"/>
      <c r="E136" s="417"/>
      <c r="F136" s="417"/>
      <c r="G136" s="199">
        <v>280</v>
      </c>
      <c r="H136" s="207">
        <f>K132</f>
        <v>0.99014491585874609</v>
      </c>
      <c r="I136" s="199">
        <f>N125</f>
        <v>370</v>
      </c>
      <c r="J136" s="176"/>
      <c r="K136" s="176"/>
      <c r="L136" s="176"/>
      <c r="M136" s="176"/>
      <c r="N136" s="176"/>
      <c r="O136" s="176"/>
      <c r="P136" s="176"/>
    </row>
    <row r="137" spans="2:16" x14ac:dyDescent="0.25">
      <c r="D137" s="176"/>
      <c r="E137" s="417"/>
      <c r="F137" s="417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</row>
    <row r="138" spans="2:16" x14ac:dyDescent="0.25">
      <c r="D138" s="176"/>
      <c r="E138" s="417"/>
      <c r="F138" s="417"/>
      <c r="G138" s="417"/>
      <c r="H138" s="176"/>
      <c r="I138" s="226">
        <f>J135</f>
        <v>671.36181615798569</v>
      </c>
      <c r="J138" s="176"/>
      <c r="K138" s="176"/>
      <c r="L138" s="176"/>
      <c r="M138" s="176"/>
      <c r="N138" s="176"/>
      <c r="O138" s="176"/>
      <c r="P138" s="176"/>
    </row>
    <row r="139" spans="2:16" x14ac:dyDescent="0.25">
      <c r="D139" s="176"/>
      <c r="E139" s="417"/>
      <c r="F139" s="417"/>
      <c r="G139" s="417"/>
      <c r="H139" s="418" t="s">
        <v>341</v>
      </c>
      <c r="I139" s="417"/>
      <c r="J139" s="417"/>
      <c r="K139" s="417"/>
      <c r="L139" s="197" t="s">
        <v>76</v>
      </c>
      <c r="M139" s="202">
        <f>I138/(H140*J140)</f>
        <v>8.2476881591890139E-3</v>
      </c>
      <c r="N139" s="176"/>
      <c r="O139" s="176"/>
      <c r="P139" s="222" t="str">
        <f>IF(M139&lt;0.001,"{ tại tiết diện bất kỳ của dầm phải không nhỏ hơn 0.1 %}","")</f>
        <v/>
      </c>
    </row>
    <row r="140" spans="2:16" x14ac:dyDescent="0.25">
      <c r="D140" s="176"/>
      <c r="E140" s="417"/>
      <c r="F140" s="417"/>
      <c r="G140" s="417"/>
      <c r="H140" s="199">
        <f>H91</f>
        <v>220</v>
      </c>
      <c r="I140" s="199" t="s">
        <v>119</v>
      </c>
      <c r="J140" s="197">
        <f>N125</f>
        <v>370</v>
      </c>
      <c r="K140" s="176"/>
      <c r="L140" s="176"/>
      <c r="M140" s="176"/>
      <c r="N140" s="176"/>
      <c r="O140" s="176"/>
      <c r="P140" s="176"/>
    </row>
    <row r="141" spans="2:16" x14ac:dyDescent="0.25">
      <c r="G141" s="195"/>
      <c r="H141" s="126"/>
    </row>
    <row r="142" spans="2:16" x14ac:dyDescent="0.25">
      <c r="C142" s="209" t="s">
        <v>358</v>
      </c>
      <c r="D142" s="209"/>
      <c r="E142" s="209"/>
      <c r="F142" s="182"/>
      <c r="G142" s="218">
        <f>H66</f>
        <v>45.629017875000017</v>
      </c>
      <c r="H142" s="209" t="s">
        <v>148</v>
      </c>
      <c r="I142" s="182"/>
      <c r="J142" s="208"/>
      <c r="K142" s="208"/>
      <c r="L142" s="208"/>
      <c r="M142" s="208"/>
      <c r="N142" s="208"/>
      <c r="O142" s="208"/>
    </row>
    <row r="143" spans="2:16" x14ac:dyDescent="0.25">
      <c r="C143" s="209"/>
      <c r="D143" s="208"/>
      <c r="E143" s="210" t="s">
        <v>343</v>
      </c>
      <c r="F143" s="213">
        <f>G142*1000000/(G129*H129*I129*I129)</f>
        <v>1.2930492325702396E-2</v>
      </c>
      <c r="G143" s="210" t="s">
        <v>344</v>
      </c>
      <c r="H143" s="214">
        <f>(0.5*(1+SQRT(1-2*F143)))</f>
        <v>0.9934924050450511</v>
      </c>
      <c r="I143" s="211" t="s">
        <v>345</v>
      </c>
      <c r="J143" s="227">
        <f>(G142*1000000/(G136*H143*I136))</f>
        <v>443.31947907845461</v>
      </c>
      <c r="K143" s="208" t="s">
        <v>359</v>
      </c>
      <c r="L143" s="210" t="s">
        <v>346</v>
      </c>
      <c r="M143" s="212">
        <f>(J143/(H140*J140))</f>
        <v>5.4461852466640617E-3</v>
      </c>
      <c r="N143" s="208"/>
      <c r="O143" s="208"/>
    </row>
    <row r="144" spans="2:16" x14ac:dyDescent="0.25">
      <c r="B144" s="126" t="s">
        <v>347</v>
      </c>
    </row>
    <row r="145" spans="4:16" x14ac:dyDescent="0.25">
      <c r="D145" s="126" t="s">
        <v>529</v>
      </c>
    </row>
    <row r="147" spans="4:16" x14ac:dyDescent="0.25">
      <c r="D147" s="147" t="s">
        <v>349</v>
      </c>
      <c r="E147" s="150" t="s">
        <v>350</v>
      </c>
      <c r="F147" s="217" t="s">
        <v>355</v>
      </c>
      <c r="G147" s="220" t="s">
        <v>356</v>
      </c>
      <c r="H147" s="220" t="s">
        <v>357</v>
      </c>
      <c r="I147" s="220" t="str">
        <f>IF(G3&lt;=3,"",IF(G3&gt;3,"Gối 3",""))</f>
        <v>Gối 3</v>
      </c>
      <c r="J147" s="220" t="str">
        <f>IF(G3&gt;4,"Nhịp giữa","")</f>
        <v/>
      </c>
    </row>
    <row r="148" spans="4:16" ht="19.5" x14ac:dyDescent="0.25">
      <c r="D148" s="151" t="s">
        <v>353</v>
      </c>
      <c r="E148" s="215" t="s">
        <v>354</v>
      </c>
      <c r="F148" s="219">
        <f>J135</f>
        <v>671.36181615798569</v>
      </c>
      <c r="G148" s="219">
        <f>I102</f>
        <v>569.47730917912315</v>
      </c>
      <c r="H148" s="219">
        <f>J143</f>
        <v>443.31947907845461</v>
      </c>
      <c r="I148" s="219">
        <f>IF(G3&gt;3,J109,"")</f>
        <v>488.77386978383458</v>
      </c>
      <c r="J148" s="219" t="str">
        <f>IF(G3&gt;4,J143,"")</f>
        <v/>
      </c>
    </row>
    <row r="149" spans="4:16" x14ac:dyDescent="0.25">
      <c r="D149" s="216" t="s">
        <v>351</v>
      </c>
      <c r="E149" s="150"/>
      <c r="F149" s="154" t="str">
        <f>IF(F148&lt;=84.8,"2f6 + 1f6",IF(AND(F148&gt;84.8,F148&lt;=106.8),"2f6 + 1f8",IF(AND(F148&gt;106.8,F148&lt;=150.8),"2f8 + 1f8",IF(AND(F148&gt;150.8,F148&lt;=179),"2f8 + 1f10",IF(AND(F148&gt;179,F148&lt;=235.6),"2f10 + 1f10",IF(AND(F148&gt;235.6,F148&lt;=270.2),"2f10 + 1f12",IF(AND(F148&gt;270.2,F148&lt;=339.2),"2f12 + 1f12",IF(AND(F148&gt;339.2,F148&lt;=380.1),"2f12 + 1f14",IF(AND(F148&gt;380.1,F148&lt;=461.8),"2f14 + 1f14",IF(AND(F148&gt;461.8,F148&lt;=509),"2f14 + 1f16",IF(AND(F148&gt;509,F148&lt;=603.2),"2f16 + 1f16",IF(AND(F148&gt;603.2,F148&lt;=656.6),"2f16 + 1f18",IF(AND(F148&gt;656.6,F148&lt;=763.4),"2f18 + 1f18",IF(AND(F148&gt;763.4,F148&lt;=823.1),"2f18 + 1f20",IF(AND(F148&gt;823.1,F148&lt;=942.5),"2f20 + 1f20",IF(AND(F148&gt;942.5,F148&lt;=1008.4),"2f20 + 1f22",IF(AND(F148&gt;1008.4,F148&lt;=1140.4),"2f22 +1f22")))))))))))))))))</f>
        <v>2f18 + 1f18</v>
      </c>
      <c r="G149" s="154" t="str">
        <f>IF(G148&lt;=84.8,"2f6 + 1f6",IF(AND(G148&gt;84.8,G148&lt;=106.8),"2f6 + 1f8",IF(AND(G148&gt;106.8,G148&lt;=150.8),"2f8 + 1f8",IF(AND(G148&gt;150.8,G148&lt;=179),"2f8 + 1f10",IF(AND(G148&gt;179,G148&lt;=235.6),"2f10 + 1f10",IF(AND(G148&gt;235.6,G148&lt;=270.2),"2f10 + 1f12",IF(AND(G148&gt;270.2,G148&lt;=339.2),"2f12 + 1f12",IF(AND(G148&gt;339.2,G148&lt;=380.1),"2f12 + 1f14",IF(AND(G148&gt;380.1,G148&lt;=461.8),"2f14 + 1f14",IF(AND(G148&gt;461.8,G148&lt;=509),"2f14 + 1f16",IF(AND(G148&gt;509,G148&lt;=603.2),"2f16 + 1f16",IF(AND(G148&gt;603.2,G148&lt;=656.6),"2f16 + 1f18",IF(AND(G148&gt;656.6,G148&lt;=763.4),"2f18 + 1f18",IF(AND(G148&gt;763.4,G148&lt;=823.1),"2f18 + 1f20",IF(AND(G148&gt;823.1,G148&lt;=942.5),"2f20 + 1f20",IF(AND(G148&gt;942.5,G148&lt;=1008.4),"2f20 + 1f22",IF(AND(G148&gt;1008.4,G148&lt;=1140.4),"2f22 +1f22")))))))))))))))))</f>
        <v>2f16 + 1f16</v>
      </c>
      <c r="H149" s="154" t="str">
        <f>IF(H148&lt;=84.8,"2f6 + 1f6",IF(AND(H148&gt;84.8,H148&lt;=106.8),"2f6 + 1f8",IF(AND(H148&gt;106.8,H148&lt;=150.8),"2f8 + 1f8",IF(AND(H148&gt;150.8,H148&lt;=179),"2f8 + 1f10",IF(AND(H148&gt;179,H148&lt;=235.6),"2f10 + 1f10",IF(AND(H148&gt;235.6,H148&lt;=270.2),"2f10 + 1f12",IF(AND(H148&gt;270.2,H148&lt;=339.2),"2f12 + 1f12",IF(AND(H148&gt;339.2,H148&lt;=380.1),"2f12 + 1f14",IF(AND(H148&gt;380.1,H148&lt;=461.8),"2f14 + 1f14",IF(AND(H148&gt;461.8,H148&lt;=509),"2f14 + 1f16",IF(AND(H148&gt;509,H148&lt;=603.2),"2f16 + 1f16",IF(AND(H148&gt;603.2,H148&lt;=656.6),"2f16 + 1f18",IF(AND(H148&gt;656.6,H148&lt;=763.4),"2f18 + 1f18",IF(AND(H148&gt;763.4,H148&lt;=823.1),"2f18 + 1f20",IF(AND(H148&gt;823.1,H148&lt;=942.5),"2f20 + 1f20",IF(AND(H148&gt;942.5,H148&lt;=1008.4),"2f20 + 1f22",IF(AND(H148&gt;1008.4,H148&lt;=1140.4),"2f22 +1f22")))))))))))))))))</f>
        <v>2f14 + 1f14</v>
      </c>
      <c r="I149" s="154" t="str">
        <f>IF(G3&lt;4,"",IF(I148&lt;=84.8,"2f6 + 1f6",IF(AND(I148&gt;84.8,I148&lt;=106.8),"2f6 + 1f8",IF(AND(I148&gt;106.8,I148&lt;=150.8),"2f8 + 1f8",IF(AND(I148&gt;150.8,I148&lt;=179),"2f8 + 1f10",IF(AND(I148&gt;179,I148&lt;=235.6),"2f10 + 1f10",IF(AND(I148&gt;235.6,I148&lt;=270.2),"2f10 + 1f12",IF(AND(I148&gt;270.2,I148&lt;=339.2),"2f12 + 1f12",IF(AND(I148&gt;339.2,I148&lt;=380.1),"2f12 + 1f14",IF(AND(I148&gt;380.1,I148&lt;=461.8),"2f14 + 1f14",IF(AND(I148&gt;461.8,I148&lt;=509),"2f14 + 1f16",IF(AND(I148&gt;509,I148&lt;=603.2),"2f16 + 1f16",IF(AND(I148&gt;603.2,I148&lt;=656.6),"2f16 + 1f18",IF(AND(I148&gt;656.6,I148&lt;=763.4),"2f18 + 1f18",IF(AND(I148&gt;763.4,I148&lt;=823.1),"2f18 + 1f20",IF(AND(I148&gt;823.1,I148&lt;=942.5),"2f20 + 1f20",IF(AND(I148&gt;942.5,I148&lt;=1008.4),"2f20 + 1f22",IF(AND(I148&gt;1008.4,I148&lt;=1140.4),"2f22 +1f22",""))))))))))))))))))</f>
        <v>2f14 + 1f16</v>
      </c>
      <c r="J149" s="154" t="str">
        <f>IF(G3&lt;5,"",IF(J148&lt;=84.8,"2f6 + 1f6",IF(AND(J148&gt;84.8,J148&lt;=106.8),"2f6 + 1f8",IF(AND(J148&gt;106.8,J148&lt;=150.8),"2f8 + 1f8",IF(AND(J148&gt;150.8,J148&lt;=179),"2f8 + 1f10",IF(AND(J148&gt;179,J148&lt;=235.6),"2f10 + 1f10",IF(AND(J148&gt;235.6,J148&lt;=270.2),"2f10 + 1f12",IF(AND(J148&gt;270.2,J148&lt;=339.2),"2f12 + 1f12",IF(AND(J148&gt;339.2,J148&lt;=380.1),"2f12 + 1f14",IF(AND(J148&gt;380.1,J148&lt;=461.8),"2f14 + 1f14",IF(AND(J148&gt;461.8,J148&lt;=509),"2f14 + 1f16",IF(AND(J148&gt;509,J148&lt;=603.2),"2f16 + 1f16",IF(AND(J148&gt;603.2,J148&lt;=656.6),"2f16 + 1f18",IF(AND(J148&gt;656.6,J148&lt;=763.4),"2f18 + 1f18",IF(AND(J148&gt;763.4,J148&lt;=823.1),"2f18 + 1f20",IF(AND(J148&gt;823.1,J148&lt;=942.5),"2f20 + 1f20",IF(AND(J148&gt;942.5,J148&lt;=1008.4),"2f20 + 1f22",IF(AND(J148&gt;1008.4,J148&lt;=1140.4),"2f22 +1f22"))))))))))))))))))</f>
        <v/>
      </c>
    </row>
    <row r="150" spans="4:16" ht="18" x14ac:dyDescent="0.25">
      <c r="D150" s="216" t="s">
        <v>352</v>
      </c>
      <c r="E150" s="215" t="s">
        <v>340</v>
      </c>
      <c r="F150" s="220">
        <f>IF(F149="2f6 + 1f6",85,IF(F149="2f6 + 1f8",107,IF(F149="2f8 + 1f8",151,IF(F149="2f8 + 1f10",179,IF(F149="2f10 + 1f10",236,IF(F149="2f10 + 1f12",270,IF(F149="2f12 + 1f12",339,IF(F149="2f12 + 1f14",380,IF(F149="2f14 + 1f14",462,IF(F149="2f14 + 1f16",509,IF(F149="2f16 + 1f16",603,IF(F149="2f16 + 1f18",657,IF(F149="2f18 + 1f18",763,IF(F149="2f18 + 1f20",823,IF(F149="2f20 + 1f20",943,IF(F149="2f20 + 1f22",1008,IF(F149="2f22 + 1f22",1140)))))))))))))))))</f>
        <v>763</v>
      </c>
      <c r="G150" s="220">
        <f>IF(G149="2f6 + 1f6",85,IF(G149="2f6 + 1f8",107,IF(G149="2f8 + 1f8",151,IF(G149="2f8 + 1f10",179,IF(G149="2f10 + 1f10",236,IF(G149="2f10 + 1f12",270,IF(G149="2f12 + 1f12",339,IF(G149="2f12 + 1f14",380,IF(G149="2f14 + 1f14",462,IF(G149="2f14 + 1f16",509,IF(G149="2f16 + 1f16",603,IF(G149="2f16 + 1f18",657,IF(G149="2f18 + 1f18",763,IF(G149="2f18 + 1f20",823,IF(G149="2f20 + 1f20",943,IF(G149="2f20 + 1f22",1008,IF(G149="2f22 + 1f22",1140)))))))))))))))))</f>
        <v>603</v>
      </c>
      <c r="H150" s="220">
        <f>IF(H149="2f6 + 1f6",85,IF(H149="2f6 + 1f8",107,IF(H149="2f8 + 1f8",151,IF(H149="2f8 + 1f10",179,IF(H149="2f10 + 1f10",236,IF(H149="2f10 + 1f12",270,IF(H149="2f12 + 1f12",339,IF(H149="2f12 + 1f14",380,IF(H149="2f14 + 1f14",462,IF(H149="2f14 + 1f16",509,IF(H149="2f16 + 1f16",603,IF(H149="2f16 + 1f18",657,IF(H149="2f18 + 1f18",763,IF(H149="2f18 + 1f20",823,IF(H149="2f20 + 1f20",943,IF(H149="2f20 + 1f22",1008,IF(H149="2f22 + 1f22",1140)))))))))))))))))</f>
        <v>462</v>
      </c>
      <c r="I150" s="220">
        <f>IF(G3&lt;4,"",IF(I149="2f6 + 1f6",85,IF(I149="2f6 + 1f8",107,IF(I149="2f8 + 1f8",151,IF(I149="2f8 + 1f10",179,IF(I149="2f10 + 1f10",236,IF(I149="2f10 + 1f12",270,IF(I149="2f12 + 1f12",339,IF(I149="2f12 + 1f14",380,IF(I149="2f14 + 1f14",462,IF(I149="2f14 + 1f16",509,IF(I149="2f16 + 1f16",603,IF(I149="2f16 + 1f18",657,IF(I149="2f18 + 1f18",763,IF(I149="2f18 + 1f20",823,IF(I149="2f20 + 1f20",943,IF(I149="2f20 + 1f22",1008,IF(I149="2f22 + 1f22",1140))))))))))))))))))</f>
        <v>509</v>
      </c>
      <c r="J150" s="220" t="str">
        <f>IF(G3&lt;5,"",IF(J149="2f6 + 1f6",85,IF(J149="2f6 + 1f8",107,IF(J149="2f8 + 1f8",151,IF(J149="2f8 + 1f10",179,IF(J149="2f10 + 1f10",236,IF(J149="2f10 + 1f12",270,IF(J149="2f12 + 1f12",339,IF(J149="2f12 + 1f14",380,IF(J149="2f14 + 1f14",462,IF(J149="2f14 + 1f16",509,IF(J149="2f16 + 1f16",603,IF(J149="2f16 + 1f18",657,IF(J149="2f18 + 1f18",763,IF(J149="2f18 + 1f20",823,IF(J149="2f20 + 1f20",943,IF(J149="2f20 + 1f22",1008,IF(J149="2f22 + 1f22",1140))))))))))))))))))</f>
        <v/>
      </c>
    </row>
    <row r="151" spans="4:16" ht="16.5" thickBot="1" x14ac:dyDescent="0.3">
      <c r="F151" s="229">
        <f>VALUE(MID(F149,10,2))</f>
        <v>18</v>
      </c>
      <c r="G151" s="229">
        <f>VALUE(MID(G149,10,2))</f>
        <v>16</v>
      </c>
      <c r="H151" s="229">
        <f>VALUE(MID(H149,10,2))</f>
        <v>14</v>
      </c>
      <c r="I151" s="229">
        <f>IF(G3&lt;4,"",VALUE(MID(I149,10,2)))</f>
        <v>16</v>
      </c>
      <c r="J151" s="229" t="str">
        <f>IF(G3&lt;5,"",VALUE(MID(J149,10,2)))</f>
        <v/>
      </c>
    </row>
    <row r="152" spans="4:16" x14ac:dyDescent="0.25">
      <c r="D152" s="326"/>
      <c r="E152" s="327"/>
      <c r="F152" s="347"/>
      <c r="G152" s="347"/>
      <c r="H152" s="347"/>
      <c r="I152" s="347"/>
      <c r="J152" s="347"/>
      <c r="K152" s="327"/>
      <c r="L152" s="327"/>
      <c r="M152" s="327"/>
      <c r="N152" s="327"/>
      <c r="O152" s="327"/>
      <c r="P152" s="329"/>
    </row>
    <row r="153" spans="4:16" x14ac:dyDescent="0.25">
      <c r="D153" s="330"/>
      <c r="E153" s="331"/>
      <c r="F153" s="348"/>
      <c r="G153" s="348"/>
      <c r="H153" s="348"/>
      <c r="I153" s="348"/>
      <c r="J153" s="348"/>
      <c r="K153" s="331"/>
      <c r="L153" s="331"/>
      <c r="M153" s="331"/>
      <c r="N153" s="331"/>
      <c r="O153" s="331"/>
      <c r="P153" s="333"/>
    </row>
    <row r="154" spans="4:16" x14ac:dyDescent="0.25">
      <c r="D154" s="330"/>
      <c r="E154" s="331"/>
      <c r="F154" s="348"/>
      <c r="G154" s="348"/>
      <c r="H154" s="348"/>
      <c r="I154" s="348"/>
      <c r="J154" s="348"/>
      <c r="K154" s="331"/>
      <c r="L154" s="331"/>
      <c r="M154" s="331"/>
      <c r="N154" s="331"/>
      <c r="O154" s="331"/>
      <c r="P154" s="333"/>
    </row>
    <row r="155" spans="4:16" x14ac:dyDescent="0.25">
      <c r="D155" s="330"/>
      <c r="E155" s="331"/>
      <c r="F155" s="348"/>
      <c r="G155" s="348"/>
      <c r="H155" s="348"/>
      <c r="I155" s="348"/>
      <c r="J155" s="348"/>
      <c r="K155" s="331"/>
      <c r="L155" s="331"/>
      <c r="M155" s="331"/>
      <c r="N155" s="331"/>
      <c r="O155" s="331"/>
      <c r="P155" s="333"/>
    </row>
    <row r="156" spans="4:16" x14ac:dyDescent="0.25">
      <c r="D156" s="330"/>
      <c r="E156" s="331"/>
      <c r="F156" s="348"/>
      <c r="G156" s="348"/>
      <c r="H156" s="348"/>
      <c r="I156" s="348"/>
      <c r="J156" s="348"/>
      <c r="K156" s="331"/>
      <c r="L156" s="331"/>
      <c r="M156" s="331"/>
      <c r="N156" s="331"/>
      <c r="O156" s="331"/>
      <c r="P156" s="333"/>
    </row>
    <row r="157" spans="4:16" x14ac:dyDescent="0.25">
      <c r="D157" s="330"/>
      <c r="E157" s="331"/>
      <c r="F157" s="348"/>
      <c r="G157" s="351" t="s">
        <v>518</v>
      </c>
      <c r="H157" s="348"/>
      <c r="I157" s="348"/>
      <c r="J157" s="348"/>
      <c r="K157" s="331"/>
      <c r="L157" s="331"/>
      <c r="M157" s="331"/>
      <c r="N157" s="331"/>
      <c r="O157" s="331"/>
      <c r="P157" s="333"/>
    </row>
    <row r="158" spans="4:16" x14ac:dyDescent="0.25">
      <c r="D158" s="330"/>
      <c r="E158" s="331"/>
      <c r="F158" s="348"/>
      <c r="G158" s="348"/>
      <c r="H158" s="348"/>
      <c r="I158" s="348"/>
      <c r="J158" s="348"/>
      <c r="K158" s="331"/>
      <c r="L158" s="331"/>
      <c r="M158" s="331"/>
      <c r="N158" s="331"/>
      <c r="O158" s="331"/>
      <c r="P158" s="333"/>
    </row>
    <row r="159" spans="4:16" x14ac:dyDescent="0.25">
      <c r="D159" s="330"/>
      <c r="E159" s="331"/>
      <c r="F159" s="348"/>
      <c r="G159" s="348"/>
      <c r="H159" s="348"/>
      <c r="I159" s="348"/>
      <c r="J159" s="348"/>
      <c r="K159" s="331"/>
      <c r="L159" s="331"/>
      <c r="M159" s="331"/>
      <c r="N159" s="331"/>
      <c r="O159" s="331"/>
      <c r="P159" s="333"/>
    </row>
    <row r="160" spans="4:16" x14ac:dyDescent="0.25">
      <c r="D160" s="330"/>
      <c r="E160" s="331"/>
      <c r="F160" s="348"/>
      <c r="G160" s="348"/>
      <c r="H160" s="350" t="s">
        <v>521</v>
      </c>
      <c r="I160" s="348"/>
      <c r="J160" s="348"/>
      <c r="K160" s="331"/>
      <c r="L160" s="331"/>
      <c r="M160" s="331"/>
      <c r="N160" s="331"/>
      <c r="O160" s="331"/>
      <c r="P160" s="333"/>
    </row>
    <row r="161" spans="2:19" ht="16.5" thickBot="1" x14ac:dyDescent="0.3">
      <c r="D161" s="334"/>
      <c r="E161" s="335"/>
      <c r="F161" s="349"/>
      <c r="G161" s="349"/>
      <c r="H161" s="349"/>
      <c r="I161" s="349"/>
      <c r="J161" s="349"/>
      <c r="K161" s="335"/>
      <c r="L161" s="335"/>
      <c r="M161" s="335"/>
      <c r="N161" s="335"/>
      <c r="O161" s="335"/>
      <c r="P161" s="337"/>
    </row>
    <row r="162" spans="2:19" ht="19.5" x14ac:dyDescent="0.25">
      <c r="D162" s="3" t="s">
        <v>364</v>
      </c>
      <c r="G162" s="2" t="s">
        <v>365</v>
      </c>
      <c r="I162" s="24">
        <v>20</v>
      </c>
      <c r="J162" s="3" t="s">
        <v>366</v>
      </c>
    </row>
    <row r="163" spans="2:19" ht="19.5" x14ac:dyDescent="0.35">
      <c r="D163" s="1" t="s">
        <v>367</v>
      </c>
      <c r="F163" s="2">
        <f>K91</f>
        <v>400</v>
      </c>
      <c r="G163" s="129" t="s">
        <v>99</v>
      </c>
      <c r="H163" s="2">
        <f>I162</f>
        <v>20</v>
      </c>
      <c r="I163" s="230" t="s">
        <v>368</v>
      </c>
      <c r="J163" s="3">
        <f>MAX(F151:J151)</f>
        <v>18</v>
      </c>
      <c r="K163" s="127" t="s">
        <v>76</v>
      </c>
      <c r="L163" s="3">
        <f>F163-H163-J163/2</f>
        <v>371</v>
      </c>
      <c r="M163" s="3" t="s">
        <v>157</v>
      </c>
      <c r="N163" s="3" t="str">
        <f>IF(L163&gt;M92,"lớn hơn trị số đã dùng để tính toán là:","chọn lại c")</f>
        <v>lớn hơn trị số đã dùng để tính toán là:</v>
      </c>
      <c r="R163" s="3">
        <f>IF(L163&gt;M92,M92,"")</f>
        <v>370</v>
      </c>
      <c r="S163" s="3" t="str">
        <f>IF(R163="","","mm")</f>
        <v>mm</v>
      </c>
    </row>
    <row r="164" spans="2:19" x14ac:dyDescent="0.25">
      <c r="B164" s="126" t="s">
        <v>369</v>
      </c>
    </row>
    <row r="165" spans="2:19" x14ac:dyDescent="0.25">
      <c r="C165" s="3" t="s">
        <v>370</v>
      </c>
    </row>
    <row r="167" spans="2:19" x14ac:dyDescent="0.25">
      <c r="D167"/>
      <c r="F167" s="183">
        <f>J83</f>
        <v>87.447723299999993</v>
      </c>
      <c r="G167" s="3" t="s">
        <v>371</v>
      </c>
    </row>
    <row r="169" spans="2:19" ht="19.5" x14ac:dyDescent="0.25">
      <c r="D169" s="155" t="s">
        <v>372</v>
      </c>
      <c r="G169" s="2">
        <f>'Số liệu tính'!E52</f>
        <v>8.5</v>
      </c>
      <c r="H169" s="2" t="s">
        <v>373</v>
      </c>
      <c r="I169" s="3">
        <f>'Số liệu tính'!H52</f>
        <v>0.75</v>
      </c>
      <c r="J169" s="2" t="s">
        <v>374</v>
      </c>
      <c r="K169" s="3">
        <f>'Số liệu tính'!P53</f>
        <v>175</v>
      </c>
      <c r="L169" s="3" t="s">
        <v>375</v>
      </c>
    </row>
    <row r="170" spans="2:19" ht="19.5" x14ac:dyDescent="0.35">
      <c r="D170" s="3" t="s">
        <v>376</v>
      </c>
      <c r="F170" s="2">
        <f>Bản!Q11</f>
        <v>220</v>
      </c>
      <c r="G170" s="3" t="s">
        <v>377</v>
      </c>
      <c r="H170" s="2">
        <f>Bản!N11</f>
        <v>400</v>
      </c>
      <c r="I170" s="1" t="s">
        <v>378</v>
      </c>
      <c r="J170" s="2">
        <f>L163</f>
        <v>371</v>
      </c>
      <c r="K170" s="3" t="s">
        <v>80</v>
      </c>
    </row>
    <row r="171" spans="2:19" ht="19.5" x14ac:dyDescent="0.25">
      <c r="D171" s="3" t="s">
        <v>379</v>
      </c>
    </row>
    <row r="172" spans="2:19" ht="19.5" x14ac:dyDescent="0.35">
      <c r="D172" s="193" t="s">
        <v>380</v>
      </c>
      <c r="F172" s="2">
        <f>G169</f>
        <v>8.5</v>
      </c>
      <c r="G172" s="2">
        <f>F170</f>
        <v>220</v>
      </c>
      <c r="H172" s="2">
        <f>J170</f>
        <v>371</v>
      </c>
      <c r="I172" s="129" t="s">
        <v>76</v>
      </c>
      <c r="J172" s="2">
        <f>0.3*F172*G172*H172</f>
        <v>208131</v>
      </c>
      <c r="K172" s="3" t="s">
        <v>381</v>
      </c>
      <c r="L172" s="3">
        <f>J172/1000</f>
        <v>208.131</v>
      </c>
      <c r="M172" s="3" t="s">
        <v>140</v>
      </c>
    </row>
    <row r="173" spans="2:19" ht="19.5" x14ac:dyDescent="0.25">
      <c r="D173" s="232" t="s">
        <v>382</v>
      </c>
      <c r="G173" s="2">
        <f>I169</f>
        <v>0.75</v>
      </c>
      <c r="H173" s="2">
        <f>F170</f>
        <v>220</v>
      </c>
      <c r="I173" s="2">
        <f>J170</f>
        <v>371</v>
      </c>
      <c r="J173" s="129" t="s">
        <v>76</v>
      </c>
      <c r="K173" s="2">
        <f>G173*H173*I173/2</f>
        <v>30607.5</v>
      </c>
      <c r="L173" s="2" t="s">
        <v>383</v>
      </c>
      <c r="M173" s="246">
        <f>K173/1000</f>
        <v>30.607500000000002</v>
      </c>
      <c r="N173" s="3" t="s">
        <v>384</v>
      </c>
    </row>
    <row r="174" spans="2:19" ht="19.5" x14ac:dyDescent="0.25">
      <c r="D174" s="3" t="s">
        <v>385</v>
      </c>
      <c r="H174" s="222" t="str">
        <f>IF(AND(M173&lt;=F167,F167&lt;=L172),"được thỏa mãn, cần phải tính toán cốt đai cho dầm",IF(F167&lt;M173,"dầm không cần tính toán cốt đai mà được bố trí cốt đai theo yêu cầu cấu tạo"))</f>
        <v>được thỏa mãn, cần phải tính toán cốt đai cho dầm</v>
      </c>
    </row>
    <row r="175" spans="2:19" x14ac:dyDescent="0.25">
      <c r="C175" s="126" t="s">
        <v>386</v>
      </c>
    </row>
    <row r="176" spans="2:19" ht="19.5" x14ac:dyDescent="0.25">
      <c r="D176" s="3" t="s">
        <v>387</v>
      </c>
      <c r="E176" s="135">
        <f>F167</f>
        <v>87.447723299999993</v>
      </c>
      <c r="F176" s="2" t="s">
        <v>388</v>
      </c>
    </row>
    <row r="177" spans="3:12" ht="19.5" x14ac:dyDescent="0.25">
      <c r="D177" s="129"/>
      <c r="E177" s="3" t="s">
        <v>389</v>
      </c>
    </row>
    <row r="178" spans="3:12" ht="19.5" x14ac:dyDescent="0.35">
      <c r="E178" s="1" t="s">
        <v>253</v>
      </c>
      <c r="G178" s="135">
        <f>J36</f>
        <v>10.908600000000002</v>
      </c>
      <c r="H178" s="127" t="s">
        <v>123</v>
      </c>
      <c r="I178" s="3">
        <f>L36</f>
        <v>17.16</v>
      </c>
      <c r="J178" s="127" t="s">
        <v>76</v>
      </c>
      <c r="K178" s="135">
        <f>G178+I178</f>
        <v>28.068600000000004</v>
      </c>
      <c r="L178" s="3" t="s">
        <v>248</v>
      </c>
    </row>
    <row r="180" spans="3:12" x14ac:dyDescent="0.25">
      <c r="E180"/>
    </row>
    <row r="181" spans="3:12" x14ac:dyDescent="0.25">
      <c r="H181" s="135">
        <f>(((E176*1000)^2)/(4.5*I169*F170*J170*J170))-((K178-0.5*I178)/0.75)</f>
        <v>48.841235732916005</v>
      </c>
      <c r="I181" s="3" t="s">
        <v>390</v>
      </c>
    </row>
    <row r="184" spans="3:12" ht="19.5" x14ac:dyDescent="0.25">
      <c r="F184" s="233" t="s">
        <v>391</v>
      </c>
      <c r="G184" s="2">
        <f>I169</f>
        <v>0.75</v>
      </c>
      <c r="H184" s="2">
        <f>F170</f>
        <v>220</v>
      </c>
      <c r="I184" s="129" t="s">
        <v>76</v>
      </c>
      <c r="J184" s="239">
        <f>G184*H184/4</f>
        <v>41.25</v>
      </c>
      <c r="K184" s="3" t="s">
        <v>392</v>
      </c>
    </row>
    <row r="186" spans="3:12" ht="19.5" x14ac:dyDescent="0.35">
      <c r="E186" s="193" t="s">
        <v>393</v>
      </c>
      <c r="F186" s="373">
        <f>J184</f>
        <v>41.25</v>
      </c>
      <c r="G186" s="3" t="s">
        <v>390</v>
      </c>
      <c r="H186" s="378" t="str">
        <f>IF(F186&lt;J186,"&lt;","&gt;")</f>
        <v>&lt;</v>
      </c>
      <c r="I186" s="235" t="s">
        <v>394</v>
      </c>
      <c r="J186" s="375">
        <f>H181</f>
        <v>48.841235732916005</v>
      </c>
      <c r="K186" s="3" t="s">
        <v>390</v>
      </c>
    </row>
    <row r="187" spans="3:12" ht="18.75" x14ac:dyDescent="0.25">
      <c r="C187" s="237" t="s">
        <v>139</v>
      </c>
      <c r="D187" s="126" t="s">
        <v>400</v>
      </c>
      <c r="G187" s="374">
        <f>IF(H186="&gt;",F186,J186)</f>
        <v>48.841235732916005</v>
      </c>
      <c r="H187" s="126" t="s">
        <v>392</v>
      </c>
    </row>
    <row r="189" spans="3:12" x14ac:dyDescent="0.25">
      <c r="G189" s="236">
        <f>SQRT((1.5*I169*F170*J170*J170)/(0.75*G187+K178-I178/2))</f>
        <v>779.12028385534893</v>
      </c>
      <c r="H189" s="3" t="s">
        <v>80</v>
      </c>
    </row>
    <row r="190" spans="3:12" x14ac:dyDescent="0.25">
      <c r="E190"/>
    </row>
    <row r="192" spans="3:12" ht="19.5" x14ac:dyDescent="0.35">
      <c r="D192" s="1" t="s">
        <v>395</v>
      </c>
      <c r="E192" s="376">
        <f>G189</f>
        <v>779.12028385534893</v>
      </c>
      <c r="F192" s="3" t="s">
        <v>26</v>
      </c>
      <c r="G192" s="377" t="str">
        <f>IF(E192&gt;I192,"&gt;","&lt;")</f>
        <v>&gt;</v>
      </c>
      <c r="H192" s="1" t="s">
        <v>396</v>
      </c>
      <c r="I192" s="372">
        <f>2*L163</f>
        <v>742</v>
      </c>
      <c r="J192" s="3" t="s">
        <v>26</v>
      </c>
    </row>
    <row r="193" spans="3:11" ht="19.5" x14ac:dyDescent="0.35">
      <c r="D193" s="3" t="str">
        <f>IF(G192="&gt;","Chỉ lấy","")</f>
        <v>Chỉ lấy</v>
      </c>
      <c r="E193" s="1" t="s">
        <v>395</v>
      </c>
      <c r="F193" s="372">
        <f>IF(E192&gt;I192,I192,E192)</f>
        <v>742</v>
      </c>
      <c r="G193" s="3" t="s">
        <v>80</v>
      </c>
    </row>
    <row r="194" spans="3:11" ht="18.75" x14ac:dyDescent="0.25">
      <c r="C194" s="237" t="s">
        <v>139</v>
      </c>
      <c r="D194" s="126" t="s">
        <v>399</v>
      </c>
      <c r="F194" s="126">
        <f>F193</f>
        <v>742</v>
      </c>
      <c r="G194" s="126" t="s">
        <v>397</v>
      </c>
    </row>
    <row r="196" spans="3:11" ht="19.5" x14ac:dyDescent="0.25">
      <c r="D196" s="3" t="s">
        <v>387</v>
      </c>
      <c r="E196" s="135">
        <f>E176</f>
        <v>87.447723299999993</v>
      </c>
      <c r="F196" s="2" t="s">
        <v>388</v>
      </c>
    </row>
    <row r="199" spans="3:11" x14ac:dyDescent="0.25">
      <c r="D199" s="131"/>
    </row>
    <row r="200" spans="3:11" x14ac:dyDescent="0.25">
      <c r="D200" s="131" t="s">
        <v>398</v>
      </c>
      <c r="F200"/>
      <c r="J200" s="375">
        <f>(E196*1000-((1.5*I169*F170*(J170^2))/(2*J170))-((K178-0.5*I178)*2*J170))/(1.5*J170)</f>
        <v>48.653966037735842</v>
      </c>
      <c r="K200" s="3" t="s">
        <v>392</v>
      </c>
    </row>
    <row r="201" spans="3:11" x14ac:dyDescent="0.2">
      <c r="D201" s="131"/>
      <c r="F201" s="1"/>
      <c r="J201" s="375"/>
    </row>
    <row r="202" spans="3:11" ht="19.5" x14ac:dyDescent="0.2">
      <c r="D202" s="2"/>
      <c r="E202" s="131" t="s">
        <v>557</v>
      </c>
      <c r="F202" s="379">
        <f>IF(J200&lt;F186,G187,J200)</f>
        <v>48.653966037735842</v>
      </c>
      <c r="G202" s="3" t="s">
        <v>392</v>
      </c>
      <c r="J202" s="375"/>
    </row>
    <row r="204" spans="3:11" x14ac:dyDescent="0.25">
      <c r="C204" s="237" t="s">
        <v>139</v>
      </c>
      <c r="D204" s="126" t="s">
        <v>401</v>
      </c>
      <c r="F204" s="238">
        <f>IF(Bản!Q11&lt;500,2,3)</f>
        <v>2</v>
      </c>
      <c r="G204" s="126" t="s">
        <v>402</v>
      </c>
    </row>
    <row r="205" spans="3:11" x14ac:dyDescent="0.25">
      <c r="D205" s="3" t="s">
        <v>403</v>
      </c>
    </row>
    <row r="206" spans="3:11" ht="19.5" x14ac:dyDescent="0.35">
      <c r="I206" s="240">
        <v>2</v>
      </c>
    </row>
    <row r="207" spans="3:11" x14ac:dyDescent="0.2">
      <c r="E207" s="137" t="s">
        <v>160</v>
      </c>
      <c r="F207" s="2">
        <f>F204</f>
        <v>2</v>
      </c>
      <c r="G207" s="239">
        <f>PI()</f>
        <v>3.1415926535897931</v>
      </c>
      <c r="H207" s="241">
        <f>6</f>
        <v>6</v>
      </c>
      <c r="I207" s="2" t="s">
        <v>161</v>
      </c>
    </row>
    <row r="208" spans="3:11" ht="18" x14ac:dyDescent="0.25">
      <c r="F208" s="127" t="s">
        <v>362</v>
      </c>
      <c r="J208" s="133">
        <f>F207*G207*H207*H207/G209</f>
        <v>56.548667764616276</v>
      </c>
      <c r="K208" s="201" t="s">
        <v>340</v>
      </c>
    </row>
    <row r="209" spans="4:11" x14ac:dyDescent="0.25">
      <c r="G209" s="3">
        <v>4</v>
      </c>
    </row>
    <row r="210" spans="4:11" x14ac:dyDescent="0.25">
      <c r="D210" s="3" t="s">
        <v>406</v>
      </c>
    </row>
    <row r="212" spans="4:11" x14ac:dyDescent="0.25">
      <c r="E212"/>
      <c r="F212" s="2">
        <f>K169</f>
        <v>175</v>
      </c>
      <c r="G212" s="134" t="s">
        <v>119</v>
      </c>
      <c r="H212" s="239">
        <f>J208</f>
        <v>56.548667764616276</v>
      </c>
      <c r="I212" s="2"/>
    </row>
    <row r="213" spans="4:11" x14ac:dyDescent="0.25">
      <c r="F213" s="127" t="s">
        <v>404</v>
      </c>
      <c r="G213" s="2"/>
      <c r="H213" s="2"/>
      <c r="I213" s="236">
        <f>F212*H212/G214</f>
        <v>203.39589276509409</v>
      </c>
      <c r="J213" s="3" t="s">
        <v>77</v>
      </c>
    </row>
    <row r="214" spans="4:11" x14ac:dyDescent="0.25">
      <c r="F214" s="2"/>
      <c r="G214" s="239">
        <f>F202</f>
        <v>48.653966037735842</v>
      </c>
      <c r="H214" s="2"/>
      <c r="I214" s="2"/>
    </row>
    <row r="215" spans="4:11" x14ac:dyDescent="0.25">
      <c r="D215" s="3" t="s">
        <v>405</v>
      </c>
    </row>
    <row r="217" spans="4:11" ht="19.5" x14ac:dyDescent="0.25">
      <c r="G217" s="233" t="s">
        <v>407</v>
      </c>
      <c r="H217" s="3">
        <f>J170</f>
        <v>371</v>
      </c>
      <c r="I217" s="3" t="s">
        <v>408</v>
      </c>
      <c r="J217" s="3">
        <f>MIN(0.5*H217,300)</f>
        <v>185.5</v>
      </c>
      <c r="K217" s="3" t="s">
        <v>77</v>
      </c>
    </row>
    <row r="219" spans="4:11" x14ac:dyDescent="0.25">
      <c r="D219" s="3" t="s">
        <v>409</v>
      </c>
    </row>
    <row r="220" spans="4:11" ht="19.5" x14ac:dyDescent="0.35">
      <c r="H220" s="242">
        <v>2</v>
      </c>
    </row>
    <row r="221" spans="4:11" x14ac:dyDescent="0.25">
      <c r="E221"/>
      <c r="F221" s="2">
        <f>I169</f>
        <v>0.75</v>
      </c>
      <c r="G221" s="2">
        <f>F170</f>
        <v>220</v>
      </c>
      <c r="H221" s="131">
        <f>J170</f>
        <v>371</v>
      </c>
    </row>
    <row r="222" spans="4:11" x14ac:dyDescent="0.25">
      <c r="F222" s="127" t="s">
        <v>457</v>
      </c>
      <c r="I222" s="236">
        <f>F221*G221*H221*H221/G223</f>
        <v>259.70676128511627</v>
      </c>
    </row>
    <row r="223" spans="4:11" x14ac:dyDescent="0.25">
      <c r="G223" s="180">
        <f>E196*1000</f>
        <v>87447.723299999998</v>
      </c>
    </row>
    <row r="224" spans="4:11" ht="19.5" x14ac:dyDescent="0.25">
      <c r="D224" s="3" t="s">
        <v>410</v>
      </c>
      <c r="I224" s="2" t="str">
        <f>IF(J224=I213,"Stt  =",IF(J224=J217,"Sct  =","Smax  ="))</f>
        <v>Sct  =</v>
      </c>
      <c r="J224" s="180">
        <f>MIN(I213,J217,I222)</f>
        <v>185.5</v>
      </c>
      <c r="K224" s="3" t="s">
        <v>26</v>
      </c>
    </row>
    <row r="225" spans="2:15" x14ac:dyDescent="0.25">
      <c r="E225" s="230" t="s">
        <v>411</v>
      </c>
      <c r="F225" s="3">
        <f>10*INT(J224/10)</f>
        <v>180</v>
      </c>
      <c r="G225" s="3" t="s">
        <v>80</v>
      </c>
    </row>
    <row r="226" spans="2:15" x14ac:dyDescent="0.25">
      <c r="D226" s="3" t="s">
        <v>412</v>
      </c>
      <c r="H226" s="2">
        <f>F204</f>
        <v>2</v>
      </c>
      <c r="I226" s="3" t="s">
        <v>413</v>
      </c>
      <c r="K226" s="3">
        <f>F225</f>
        <v>180</v>
      </c>
      <c r="L226" s="3" t="s">
        <v>80</v>
      </c>
    </row>
    <row r="227" spans="2:15" x14ac:dyDescent="0.25">
      <c r="B227" s="126" t="s">
        <v>414</v>
      </c>
    </row>
    <row r="228" spans="2:15" x14ac:dyDescent="0.25">
      <c r="C228" s="243" t="s">
        <v>415</v>
      </c>
    </row>
    <row r="229" spans="2:15" x14ac:dyDescent="0.25">
      <c r="C229" s="244" t="s">
        <v>139</v>
      </c>
      <c r="D229" s="3" t="s">
        <v>416</v>
      </c>
    </row>
    <row r="230" spans="2:15" ht="19.5" x14ac:dyDescent="0.35">
      <c r="E230" s="193" t="s">
        <v>417</v>
      </c>
      <c r="F230" s="2">
        <f>K120</f>
        <v>1920.0000000000002</v>
      </c>
      <c r="G230" s="3" t="s">
        <v>418</v>
      </c>
      <c r="I230" s="245" t="str">
        <f>F149</f>
        <v>2f18 + 1f18</v>
      </c>
      <c r="J230" s="3" t="s">
        <v>419</v>
      </c>
      <c r="K230" s="2">
        <f>F150</f>
        <v>763</v>
      </c>
      <c r="L230" s="201" t="s">
        <v>340</v>
      </c>
    </row>
    <row r="231" spans="2:15" ht="19.5" x14ac:dyDescent="0.25">
      <c r="D231" s="3" t="s">
        <v>420</v>
      </c>
      <c r="F231" s="2">
        <f>I162</f>
        <v>20</v>
      </c>
      <c r="G231" s="3" t="s">
        <v>421</v>
      </c>
      <c r="I231" s="2">
        <f>H170</f>
        <v>400</v>
      </c>
      <c r="J231" s="2">
        <f xml:space="preserve"> -F231</f>
        <v>-20</v>
      </c>
      <c r="K231" s="2">
        <v>-0.5</v>
      </c>
      <c r="L231" s="2">
        <f>VALUE(MID(I230,10,2))</f>
        <v>18</v>
      </c>
      <c r="M231" s="127" t="s">
        <v>76</v>
      </c>
      <c r="N231" s="3">
        <f>I231+J231+K231*L231</f>
        <v>371</v>
      </c>
      <c r="O231" s="3" t="s">
        <v>80</v>
      </c>
    </row>
    <row r="232" spans="2:15" x14ac:dyDescent="0.25">
      <c r="F232" s="131"/>
      <c r="G232" s="131"/>
      <c r="H232" s="2"/>
    </row>
    <row r="233" spans="2:15" x14ac:dyDescent="0.25">
      <c r="E233"/>
      <c r="F233" s="131">
        <f>H88</f>
        <v>280</v>
      </c>
      <c r="G233" s="131">
        <f>K230</f>
        <v>763</v>
      </c>
      <c r="H233" s="2"/>
      <c r="I233" s="246">
        <f>F233*G233/(F234*G234*H234)</f>
        <v>3.5284868664446904E-2</v>
      </c>
    </row>
    <row r="234" spans="2:15" x14ac:dyDescent="0.25">
      <c r="F234" s="2">
        <f>G169</f>
        <v>8.5</v>
      </c>
      <c r="G234" s="2">
        <f>F230</f>
        <v>1920.0000000000002</v>
      </c>
      <c r="H234" s="2">
        <f>N231</f>
        <v>371</v>
      </c>
    </row>
    <row r="235" spans="2:15" x14ac:dyDescent="0.25">
      <c r="F235" s="2"/>
      <c r="G235" s="2"/>
      <c r="H235" s="2"/>
    </row>
    <row r="237" spans="2:15" ht="19.5" x14ac:dyDescent="0.35">
      <c r="E237" s="193" t="s">
        <v>422</v>
      </c>
      <c r="F237" s="135">
        <f>I233</f>
        <v>3.5284868664446904E-2</v>
      </c>
      <c r="G237" s="3">
        <f>N231</f>
        <v>371</v>
      </c>
      <c r="H237" s="127" t="s">
        <v>76</v>
      </c>
      <c r="I237" s="133">
        <f>F237*G237</f>
        <v>13.090686274509801</v>
      </c>
      <c r="J237" s="3" t="s">
        <v>26</v>
      </c>
      <c r="K237" s="234" t="str">
        <f>IF(I237&lt;M237,"&lt;","&gt;")</f>
        <v>&lt;</v>
      </c>
      <c r="L237" s="193" t="s">
        <v>423</v>
      </c>
      <c r="M237" s="3">
        <f>Bản!M5</f>
        <v>80</v>
      </c>
      <c r="N237" s="3" t="s">
        <v>80</v>
      </c>
    </row>
    <row r="238" spans="2:15" x14ac:dyDescent="0.25">
      <c r="E238" s="3" t="str">
        <f>IF(K237="&lt;","trục trung hòa đi qua cánh",IF(K237="&gt;","trục trung hoàn đi qua sườn",""))</f>
        <v>trục trung hòa đi qua cánh</v>
      </c>
    </row>
    <row r="239" spans="2:15" x14ac:dyDescent="0.25">
      <c r="F239" s="247" t="s">
        <v>424</v>
      </c>
      <c r="G239" s="135">
        <f>I233</f>
        <v>3.5284868664446904E-2</v>
      </c>
      <c r="H239" s="127" t="s">
        <v>76</v>
      </c>
      <c r="I239" s="135">
        <f>1-I233/2</f>
        <v>0.98235756566777654</v>
      </c>
    </row>
    <row r="240" spans="2:15" ht="19.5" x14ac:dyDescent="0.25">
      <c r="E240" s="232" t="s">
        <v>425</v>
      </c>
      <c r="G240" s="3">
        <f>H88</f>
        <v>280</v>
      </c>
      <c r="H240" s="3">
        <f>K230</f>
        <v>763</v>
      </c>
      <c r="I240" s="135">
        <f>I239</f>
        <v>0.98235756566777654</v>
      </c>
      <c r="J240" s="3">
        <f>N231</f>
        <v>371</v>
      </c>
      <c r="K240" s="127" t="s">
        <v>76</v>
      </c>
      <c r="L240" s="3">
        <f>G240*H240*I240*J240</f>
        <v>77862092.892156869</v>
      </c>
      <c r="M240" s="2" t="s">
        <v>427</v>
      </c>
      <c r="N240" s="135">
        <f>L240/1000000</f>
        <v>77.862092892156866</v>
      </c>
      <c r="O240" s="3" t="s">
        <v>426</v>
      </c>
    </row>
    <row r="241" spans="3:18" x14ac:dyDescent="0.25">
      <c r="C241" s="237" t="s">
        <v>139</v>
      </c>
      <c r="D241" s="3" t="s">
        <v>428</v>
      </c>
      <c r="H241" s="3" t="s">
        <v>429</v>
      </c>
      <c r="I241" s="2">
        <f>Bản!Q11</f>
        <v>220</v>
      </c>
      <c r="J241" s="2">
        <f>Bản!N11</f>
        <v>400</v>
      </c>
    </row>
    <row r="242" spans="3:18" ht="19.5" x14ac:dyDescent="0.25">
      <c r="E242" s="131" t="s">
        <v>430</v>
      </c>
      <c r="F242" s="140" t="str">
        <f>G149</f>
        <v>2f16 + 1f16</v>
      </c>
      <c r="G242" s="3" t="s">
        <v>419</v>
      </c>
      <c r="H242" s="236">
        <f>G150</f>
        <v>603</v>
      </c>
      <c r="I242" s="201" t="s">
        <v>340</v>
      </c>
    </row>
    <row r="243" spans="3:18" ht="19.5" x14ac:dyDescent="0.25">
      <c r="D243" s="3" t="s">
        <v>420</v>
      </c>
      <c r="F243" s="2">
        <f>I162</f>
        <v>20</v>
      </c>
      <c r="G243" s="3" t="s">
        <v>421</v>
      </c>
      <c r="I243" s="2">
        <f>H170</f>
        <v>400</v>
      </c>
      <c r="J243" s="2">
        <f xml:space="preserve"> -F243</f>
        <v>-20</v>
      </c>
      <c r="K243" s="2">
        <v>-0.5</v>
      </c>
      <c r="L243" s="2">
        <f>VALUE(MID(F242,10,2))</f>
        <v>16</v>
      </c>
      <c r="M243" s="127" t="s">
        <v>76</v>
      </c>
      <c r="N243" s="3">
        <f>I243+J243+K243*L243</f>
        <v>372</v>
      </c>
      <c r="O243" s="3" t="s">
        <v>80</v>
      </c>
    </row>
    <row r="244" spans="3:18" x14ac:dyDescent="0.25">
      <c r="F244" s="131"/>
      <c r="G244" s="131"/>
      <c r="H244" s="2"/>
    </row>
    <row r="245" spans="3:18" ht="19.5" x14ac:dyDescent="0.25">
      <c r="E245"/>
      <c r="F245" s="131">
        <f>H88</f>
        <v>280</v>
      </c>
      <c r="G245" s="248">
        <f>H242</f>
        <v>603</v>
      </c>
      <c r="H245" s="2"/>
      <c r="I245" s="246">
        <f>F245*G245/(F246*G246*H246)</f>
        <v>0.24271174745558047</v>
      </c>
      <c r="J245" s="234" t="str">
        <f>IF(I245&lt;0.3,"&lt;","&gt;")</f>
        <v>&lt;</v>
      </c>
      <c r="K245" s="232" t="s">
        <v>431</v>
      </c>
    </row>
    <row r="246" spans="3:18" x14ac:dyDescent="0.25">
      <c r="F246" s="2">
        <f>G169</f>
        <v>8.5</v>
      </c>
      <c r="G246" s="2">
        <f>F170</f>
        <v>220</v>
      </c>
      <c r="H246" s="2">
        <f>N243</f>
        <v>372</v>
      </c>
    </row>
    <row r="247" spans="3:18" x14ac:dyDescent="0.25">
      <c r="F247" s="2"/>
      <c r="G247" s="2"/>
      <c r="H247" s="2"/>
    </row>
    <row r="249" spans="3:18" x14ac:dyDescent="0.25">
      <c r="F249" s="247" t="s">
        <v>424</v>
      </c>
      <c r="G249" s="135">
        <f>I245</f>
        <v>0.24271174745558047</v>
      </c>
      <c r="H249" s="127" t="s">
        <v>76</v>
      </c>
      <c r="I249" s="135">
        <f>1-I245/2</f>
        <v>0.87864412627220978</v>
      </c>
    </row>
    <row r="250" spans="3:18" ht="19.5" x14ac:dyDescent="0.25">
      <c r="E250" s="232" t="s">
        <v>425</v>
      </c>
      <c r="G250" s="3">
        <f>H88</f>
        <v>280</v>
      </c>
      <c r="H250" s="180">
        <f>H242</f>
        <v>603</v>
      </c>
      <c r="I250" s="135">
        <f>I249</f>
        <v>0.87864412627220978</v>
      </c>
      <c r="J250" s="3">
        <f>N243</f>
        <v>372</v>
      </c>
      <c r="K250" s="127" t="s">
        <v>76</v>
      </c>
      <c r="L250" s="3">
        <f>G250*H250*I250*J250</f>
        <v>55186302.03208556</v>
      </c>
      <c r="M250" s="2" t="s">
        <v>427</v>
      </c>
      <c r="N250" s="135">
        <f>L250/1000000</f>
        <v>55.186302032085557</v>
      </c>
      <c r="O250" s="3" t="s">
        <v>426</v>
      </c>
    </row>
    <row r="251" spans="3:18" x14ac:dyDescent="0.25">
      <c r="D251" s="3" t="s">
        <v>530</v>
      </c>
    </row>
    <row r="252" spans="3:18" ht="19.5" x14ac:dyDescent="0.25">
      <c r="D252" s="3" t="s">
        <v>432</v>
      </c>
    </row>
    <row r="254" spans="3:18" x14ac:dyDescent="0.25">
      <c r="D254" s="126" t="s">
        <v>531</v>
      </c>
    </row>
    <row r="256" spans="3:18" ht="19.5" x14ac:dyDescent="0.35">
      <c r="D256" s="249" t="s">
        <v>349</v>
      </c>
      <c r="E256" s="144" t="s">
        <v>350</v>
      </c>
      <c r="F256" s="143"/>
      <c r="G256" s="256" t="s">
        <v>439</v>
      </c>
      <c r="H256" s="256"/>
      <c r="I256" s="144"/>
      <c r="J256" s="261" t="s">
        <v>440</v>
      </c>
      <c r="K256" s="253" t="s">
        <v>119</v>
      </c>
      <c r="L256" s="253" t="s">
        <v>443</v>
      </c>
      <c r="M256" s="251" t="s">
        <v>441</v>
      </c>
      <c r="N256" s="401"/>
      <c r="O256" s="401"/>
      <c r="P256" s="401"/>
      <c r="Q256" s="401"/>
      <c r="R256" s="401"/>
    </row>
    <row r="257" spans="3:18" ht="18" x14ac:dyDescent="0.25">
      <c r="D257" s="145"/>
      <c r="E257" s="146"/>
      <c r="F257" s="145"/>
      <c r="G257" s="250" t="s">
        <v>340</v>
      </c>
      <c r="H257" s="130"/>
      <c r="I257" s="146"/>
      <c r="J257" s="266" t="s">
        <v>8</v>
      </c>
      <c r="K257" s="260"/>
      <c r="L257" s="260"/>
      <c r="M257" s="269" t="s">
        <v>442</v>
      </c>
      <c r="N257" s="264" t="s">
        <v>447</v>
      </c>
      <c r="O257" s="264" t="s">
        <v>448</v>
      </c>
      <c r="P257" s="264" t="s">
        <v>272</v>
      </c>
      <c r="Q257" s="264" t="s">
        <v>449</v>
      </c>
      <c r="R257" s="264" t="s">
        <v>450</v>
      </c>
    </row>
    <row r="258" spans="3:18" ht="30" customHeight="1" x14ac:dyDescent="0.25">
      <c r="C258" s="317" t="s">
        <v>482</v>
      </c>
      <c r="D258" s="143" t="s">
        <v>433</v>
      </c>
      <c r="E258" s="144"/>
      <c r="F258" s="255" t="str">
        <f>F149</f>
        <v>2f18 + 1f18</v>
      </c>
      <c r="G258" s="262" t="s">
        <v>444</v>
      </c>
      <c r="H258" s="254">
        <f>F150</f>
        <v>763</v>
      </c>
      <c r="I258" s="254"/>
      <c r="J258" s="151">
        <f>N258-O258-0.5*G259</f>
        <v>371</v>
      </c>
      <c r="K258" s="270">
        <f>(Q258*H258)/(R258*P258*N258)</f>
        <v>3.2726715686274506E-2</v>
      </c>
      <c r="L258" s="152">
        <f>1-0.5*K258</f>
        <v>0.98363664215686275</v>
      </c>
      <c r="M258" s="152">
        <f>Q258*H258*L258*J258/1000000</f>
        <v>77.963473057475497</v>
      </c>
      <c r="N258" s="264">
        <f>Bản!N11</f>
        <v>400</v>
      </c>
      <c r="O258" s="264">
        <f>F243</f>
        <v>20</v>
      </c>
      <c r="P258" s="264">
        <f>F230</f>
        <v>1920.0000000000002</v>
      </c>
      <c r="Q258" s="264">
        <f>H88</f>
        <v>280</v>
      </c>
      <c r="R258" s="264">
        <f>G169</f>
        <v>8.5</v>
      </c>
    </row>
    <row r="259" spans="3:18" x14ac:dyDescent="0.25">
      <c r="C259" s="317" t="s">
        <v>596</v>
      </c>
      <c r="D259" s="143" t="s">
        <v>434</v>
      </c>
      <c r="E259" s="144"/>
      <c r="F259" s="131" t="s">
        <v>445</v>
      </c>
      <c r="G259" s="256">
        <f>INT(MID(F258,10,2))</f>
        <v>18</v>
      </c>
      <c r="H259" s="131" t="s">
        <v>446</v>
      </c>
      <c r="I259" s="256">
        <f>INT(MID(F258,3,2))</f>
        <v>18</v>
      </c>
      <c r="J259" s="143"/>
      <c r="K259" s="252"/>
      <c r="L259" s="263"/>
      <c r="M259" s="257"/>
      <c r="N259" s="264">
        <f>N258</f>
        <v>400</v>
      </c>
      <c r="O259" s="264">
        <f>O258</f>
        <v>20</v>
      </c>
      <c r="P259" s="264">
        <f>P258</f>
        <v>1920.0000000000002</v>
      </c>
      <c r="Q259" s="264">
        <f>Q258</f>
        <v>280</v>
      </c>
      <c r="R259" s="264">
        <f>R258</f>
        <v>8.5</v>
      </c>
    </row>
    <row r="260" spans="3:18" ht="19.5" x14ac:dyDescent="0.25">
      <c r="D260" s="145"/>
      <c r="E260" s="146"/>
      <c r="F260" s="145"/>
      <c r="G260" s="136" t="s">
        <v>444</v>
      </c>
      <c r="H260" s="130">
        <f>IF(G259=22,H258-380,IF(G259=20,H258-315,IF(G259=18,H258-254,IF(G259=16,H258-201,IF(G259=14,H258-154,IF(G259=12,H258-113,IF(G259=10,H258-79,IF(G259=8,H258-50,IF(G259=6,H258-28)))))))))</f>
        <v>509</v>
      </c>
      <c r="I260" s="130"/>
      <c r="J260" s="267">
        <f>N259-O259-0.5*I259</f>
        <v>371</v>
      </c>
      <c r="K260" s="271">
        <f>(Q260*H260)/(R260*P260*N260)</f>
        <v>2.1832107843137251E-2</v>
      </c>
      <c r="L260" s="268">
        <f>1-0.5*K260</f>
        <v>0.98908394607843142</v>
      </c>
      <c r="M260" s="272">
        <f>Q260*H260*L260*J260/1000000</f>
        <v>52.297734522181379</v>
      </c>
      <c r="N260" s="264">
        <f>N258</f>
        <v>400</v>
      </c>
      <c r="O260" s="264">
        <f>O258</f>
        <v>20</v>
      </c>
      <c r="P260" s="264">
        <f>P258</f>
        <v>1920.0000000000002</v>
      </c>
      <c r="Q260" s="264">
        <f>Q258</f>
        <v>280</v>
      </c>
      <c r="R260" s="264">
        <f>R258</f>
        <v>8.5</v>
      </c>
    </row>
    <row r="261" spans="3:18" ht="30" customHeight="1" x14ac:dyDescent="0.25">
      <c r="C261" s="317" t="s">
        <v>597</v>
      </c>
      <c r="D261" s="258" t="s">
        <v>435</v>
      </c>
      <c r="E261" s="259"/>
      <c r="F261" s="255" t="str">
        <f>G149</f>
        <v>2f16 + 1f16</v>
      </c>
      <c r="G261" s="263" t="s">
        <v>444</v>
      </c>
      <c r="H261" s="254">
        <f>G150</f>
        <v>603</v>
      </c>
      <c r="I261" s="254"/>
      <c r="J261" s="151">
        <f>N261-O261-0.5*G262</f>
        <v>372</v>
      </c>
      <c r="K261" s="271">
        <f>(Q261*H261)/(R261*P261*N261)</f>
        <v>0.22572192513368983</v>
      </c>
      <c r="L261" s="152">
        <f>1-0.5*K261</f>
        <v>0.88713903743315514</v>
      </c>
      <c r="M261" s="152">
        <f>Q261*H261*L261*J261/1000000</f>
        <v>55.71985448983957</v>
      </c>
      <c r="N261" s="264">
        <f>N258</f>
        <v>400</v>
      </c>
      <c r="O261" s="264">
        <f>O258</f>
        <v>20</v>
      </c>
      <c r="P261" s="264">
        <f>I241</f>
        <v>220</v>
      </c>
      <c r="Q261" s="264">
        <f>Q258</f>
        <v>280</v>
      </c>
      <c r="R261" s="264">
        <f>R258</f>
        <v>8.5</v>
      </c>
    </row>
    <row r="262" spans="3:18" x14ac:dyDescent="0.25">
      <c r="C262" s="317" t="s">
        <v>597</v>
      </c>
      <c r="D262" s="143" t="s">
        <v>436</v>
      </c>
      <c r="E262" s="144"/>
      <c r="F262" s="131" t="s">
        <v>445</v>
      </c>
      <c r="G262" s="256">
        <f>INT(MID(F261,10,2))</f>
        <v>16</v>
      </c>
      <c r="H262" s="131" t="s">
        <v>446</v>
      </c>
      <c r="I262" s="256">
        <f>INT(MID(F261,3,2))</f>
        <v>16</v>
      </c>
      <c r="J262" s="143"/>
      <c r="K262" s="252"/>
      <c r="L262" s="263"/>
      <c r="M262" s="257"/>
      <c r="N262" s="264">
        <f>N258</f>
        <v>400</v>
      </c>
      <c r="O262" s="264">
        <f>O258</f>
        <v>20</v>
      </c>
      <c r="P262" s="264">
        <f>P261</f>
        <v>220</v>
      </c>
      <c r="Q262" s="264">
        <f>Q258</f>
        <v>280</v>
      </c>
      <c r="R262" s="264">
        <f>R258</f>
        <v>8.5</v>
      </c>
    </row>
    <row r="263" spans="3:18" ht="19.5" x14ac:dyDescent="0.25">
      <c r="D263" s="145"/>
      <c r="E263" s="146"/>
      <c r="F263" s="145"/>
      <c r="G263" s="136" t="s">
        <v>444</v>
      </c>
      <c r="H263" s="130">
        <f>IF(G262=22,H261-380,IF(G262=20,H261-315,IF(G262=18,H261-254,IF(G262=16,H261-201,IF(G262=14,H261-154,IF(G262=12,H261-113,IF(G262=10,H261-79,IF(G262=8,H261-50,IF(G262=6,H261-28)))))))))</f>
        <v>402</v>
      </c>
      <c r="I263" s="130"/>
      <c r="J263" s="267">
        <f>N262-O262-0.5*I262</f>
        <v>372</v>
      </c>
      <c r="K263" s="271">
        <f>(Q263*H263)/(R263*P263*N263)</f>
        <v>0.15048128342245989</v>
      </c>
      <c r="L263" s="268">
        <f>1-0.5*K263</f>
        <v>0.92475935828877009</v>
      </c>
      <c r="M263" s="272">
        <f>Q263*H263*L263*J263/1000000</f>
        <v>38.721819773262041</v>
      </c>
      <c r="N263" s="264">
        <f>N258</f>
        <v>400</v>
      </c>
      <c r="O263" s="264">
        <f>O258</f>
        <v>20</v>
      </c>
      <c r="P263" s="264">
        <f>P261</f>
        <v>220</v>
      </c>
      <c r="Q263" s="264">
        <f>Q258</f>
        <v>280</v>
      </c>
      <c r="R263" s="264">
        <f>R258</f>
        <v>8.5</v>
      </c>
    </row>
    <row r="264" spans="3:18" ht="30" customHeight="1" x14ac:dyDescent="0.25">
      <c r="C264" s="317" t="s">
        <v>483</v>
      </c>
      <c r="D264" s="145" t="s">
        <v>437</v>
      </c>
      <c r="E264" s="146"/>
      <c r="F264" s="255" t="str">
        <f>H149</f>
        <v>2f14 + 1f14</v>
      </c>
      <c r="G264" s="262" t="s">
        <v>444</v>
      </c>
      <c r="H264" s="254">
        <f>H150</f>
        <v>462</v>
      </c>
      <c r="I264" s="254"/>
      <c r="J264" s="151">
        <f>N264-O264-0.5*G265</f>
        <v>373</v>
      </c>
      <c r="K264" s="265">
        <f>(Q264*H264)/(R264*P264*N264)</f>
        <v>1.9816176470588233E-2</v>
      </c>
      <c r="L264" s="152">
        <f>1-0.5*K264</f>
        <v>0.9900919117647059</v>
      </c>
      <c r="M264" s="152">
        <f>Q264*H264*L264*J264/1000000</f>
        <v>47.773202060294125</v>
      </c>
      <c r="N264" s="264">
        <f>N258</f>
        <v>400</v>
      </c>
      <c r="O264" s="264">
        <f>O258</f>
        <v>20</v>
      </c>
      <c r="P264" s="264">
        <f>P258</f>
        <v>1920.0000000000002</v>
      </c>
      <c r="Q264" s="264">
        <f>Q258</f>
        <v>280</v>
      </c>
      <c r="R264" s="264">
        <f>R258</f>
        <v>8.5</v>
      </c>
    </row>
    <row r="265" spans="3:18" x14ac:dyDescent="0.25">
      <c r="C265" s="317" t="s">
        <v>598</v>
      </c>
      <c r="D265" s="143" t="s">
        <v>438</v>
      </c>
      <c r="E265" s="144"/>
      <c r="F265" s="131" t="s">
        <v>445</v>
      </c>
      <c r="G265" s="256">
        <f>INT(MID(F264,10,2))</f>
        <v>14</v>
      </c>
      <c r="H265" s="131" t="s">
        <v>446</v>
      </c>
      <c r="I265" s="256">
        <f>INT(MID(F264,3,2))</f>
        <v>14</v>
      </c>
      <c r="J265" s="143"/>
      <c r="K265" s="252"/>
      <c r="L265" s="263"/>
      <c r="M265" s="257"/>
      <c r="N265" s="264">
        <f>N258</f>
        <v>400</v>
      </c>
      <c r="O265" s="264">
        <f>O258</f>
        <v>20</v>
      </c>
      <c r="P265" s="264">
        <f>P258</f>
        <v>1920.0000000000002</v>
      </c>
      <c r="Q265" s="264">
        <f>Q258</f>
        <v>280</v>
      </c>
      <c r="R265" s="264">
        <f>R258</f>
        <v>8.5</v>
      </c>
    </row>
    <row r="266" spans="3:18" ht="19.5" x14ac:dyDescent="0.25">
      <c r="D266" s="145"/>
      <c r="E266" s="146"/>
      <c r="F266" s="145"/>
      <c r="G266" s="136" t="s">
        <v>444</v>
      </c>
      <c r="H266" s="130">
        <f>IF(G265=22,H264-380,IF(G265=20,H264-315,IF(G265=18,H264-254,IF(G265=16,H264-201,IF(G265=14,H264-154,IF(G265=12,H264-113,IF(G265=10,H264-79,IF(G265=8,H264-50,IF(G265=6,H264-28)))))))))</f>
        <v>308</v>
      </c>
      <c r="I266" s="130"/>
      <c r="J266" s="267">
        <f>N265-O265-0.5*I265</f>
        <v>373</v>
      </c>
      <c r="K266" s="271">
        <f>(Q266*H266)/(R266*P266*N266)</f>
        <v>1.3210784313725488E-2</v>
      </c>
      <c r="L266" s="268">
        <f>1-0.5*K266</f>
        <v>0.99339460784313727</v>
      </c>
      <c r="M266" s="272">
        <f>Q266*H266*L266*J266/1000000</f>
        <v>31.955040915686276</v>
      </c>
      <c r="N266" s="264">
        <f>N258</f>
        <v>400</v>
      </c>
      <c r="O266" s="264">
        <f>O258</f>
        <v>20</v>
      </c>
      <c r="P266" s="264">
        <f>P258</f>
        <v>1920.0000000000002</v>
      </c>
      <c r="Q266" s="264">
        <f>Q258</f>
        <v>280</v>
      </c>
      <c r="R266" s="264">
        <f>R258</f>
        <v>8.5</v>
      </c>
    </row>
    <row r="267" spans="3:18" ht="30" customHeight="1" x14ac:dyDescent="0.25">
      <c r="C267" s="317" t="s">
        <v>599</v>
      </c>
      <c r="D267" s="273" t="str">
        <f>IF(G3&lt;4,"","Trên gối 3")</f>
        <v>Trên gối 3</v>
      </c>
      <c r="E267" s="163"/>
      <c r="F267" s="274" t="str">
        <f>IF(G3&lt;4,"",I149)</f>
        <v>2f14 + 1f16</v>
      </c>
      <c r="G267" s="283" t="str">
        <f>IF(G3&lt;4,"","Có As =")</f>
        <v>Có As =</v>
      </c>
      <c r="H267" s="275">
        <f>I150</f>
        <v>509</v>
      </c>
      <c r="I267" s="275"/>
      <c r="J267" s="276">
        <f>N267-O267-0.5*G268</f>
        <v>372</v>
      </c>
      <c r="K267" s="277">
        <f>(Q267*H267)/(R267*P267*N267)</f>
        <v>0.19053475935828876</v>
      </c>
      <c r="L267" s="165">
        <f>1-0.5*K267</f>
        <v>0.90473262032085566</v>
      </c>
      <c r="M267" s="165">
        <f>Q267*H267*L267*J267/1000000</f>
        <v>47.966607413903752</v>
      </c>
      <c r="N267" s="264">
        <f>N258</f>
        <v>400</v>
      </c>
      <c r="O267" s="264">
        <f>O258</f>
        <v>20</v>
      </c>
      <c r="P267" s="264">
        <f>P261</f>
        <v>220</v>
      </c>
      <c r="Q267" s="264">
        <f>Q258</f>
        <v>280</v>
      </c>
      <c r="R267" s="264">
        <f>R258</f>
        <v>8.5</v>
      </c>
    </row>
    <row r="268" spans="3:18" x14ac:dyDescent="0.25">
      <c r="C268" s="317" t="s">
        <v>484</v>
      </c>
      <c r="D268" s="278" t="str">
        <f>IF(G3&lt;4,"","Cạnh gối 3")</f>
        <v>Cạnh gối 3</v>
      </c>
      <c r="E268" s="169"/>
      <c r="F268" s="279" t="s">
        <v>445</v>
      </c>
      <c r="G268" s="309">
        <f>IF(G3&lt;4,"",INT(MID(F267,10,2)))</f>
        <v>16</v>
      </c>
      <c r="H268" s="279" t="s">
        <v>446</v>
      </c>
      <c r="I268" s="309">
        <f>IF(G3&lt;4,"",INT(MID(F267,3,2)))</f>
        <v>14</v>
      </c>
      <c r="J268" s="278"/>
      <c r="K268" s="280"/>
      <c r="L268" s="310"/>
      <c r="M268" s="281"/>
      <c r="N268" s="264">
        <f>N258</f>
        <v>400</v>
      </c>
      <c r="O268" s="264">
        <f>O258</f>
        <v>20</v>
      </c>
      <c r="P268" s="264">
        <f>P261</f>
        <v>220</v>
      </c>
      <c r="Q268" s="264">
        <f>Q258</f>
        <v>280</v>
      </c>
      <c r="R268" s="264">
        <f>R258</f>
        <v>8.5</v>
      </c>
    </row>
    <row r="269" spans="3:18" x14ac:dyDescent="0.25">
      <c r="D269" s="282"/>
      <c r="E269" s="167"/>
      <c r="F269" s="282"/>
      <c r="G269" s="283" t="str">
        <f>IF(G3&lt;4,"","Có As =")</f>
        <v>Có As =</v>
      </c>
      <c r="H269" s="284">
        <f>IF(G268=22,H267-380,IF(G268=20,H267-315,IF(G268=18,H267-254,IF(G268=16,H267-201,IF(G268=14,H267-154,IF(G268=12,H267-113,IF(G268=10,H267-79,IF(G268=8,H267-50,IF(G268=6,H267-28)))))))))</f>
        <v>308</v>
      </c>
      <c r="I269" s="284"/>
      <c r="J269" s="285">
        <f>N268-O268-0.5*I268</f>
        <v>373</v>
      </c>
      <c r="K269" s="286">
        <f>(Q269*H269)/(R269*P269*N269)</f>
        <v>0.11529411764705882</v>
      </c>
      <c r="L269" s="311">
        <f>1-0.5*K269</f>
        <v>0.94235294117647062</v>
      </c>
      <c r="M269" s="287">
        <f>Q269*H269*L269*J269/1000000</f>
        <v>30.313157082352941</v>
      </c>
      <c r="N269" s="264">
        <f>N258</f>
        <v>400</v>
      </c>
      <c r="O269" s="264">
        <f>O258</f>
        <v>20</v>
      </c>
      <c r="P269" s="264">
        <f>P261</f>
        <v>220</v>
      </c>
      <c r="Q269" s="264">
        <f>Q258</f>
        <v>280</v>
      </c>
      <c r="R269" s="264">
        <f>R258</f>
        <v>8.5</v>
      </c>
    </row>
    <row r="270" spans="3:18" ht="30" customHeight="1" x14ac:dyDescent="0.25">
      <c r="C270" s="325" t="str">
        <f>IF(G3&lt;5,"","số11,10")</f>
        <v/>
      </c>
      <c r="D270" s="288" t="str">
        <f>IF(G3&lt;5,"","Giữa nhịp giữa")</f>
        <v/>
      </c>
      <c r="E270" s="289"/>
      <c r="F270" s="290" t="str">
        <f>IF(G3&lt;4,"",J149)</f>
        <v/>
      </c>
      <c r="G270" s="291" t="str">
        <f>IF(G3&lt;5,"","Có As =")</f>
        <v/>
      </c>
      <c r="H270" s="292" t="str">
        <f>J150</f>
        <v/>
      </c>
      <c r="I270" s="292"/>
      <c r="J270" s="293" t="str">
        <f>IF(G3&lt;5,"",N270-O270-0.5*G271)</f>
        <v/>
      </c>
      <c r="K270" s="294" t="str">
        <f>IF(G3&lt;5,"",(Q270*H270)/(R270*P270*N270))</f>
        <v/>
      </c>
      <c r="L270" s="295" t="str">
        <f>IF(G3&lt;5,"",1-0.5*K270)</f>
        <v/>
      </c>
      <c r="M270" s="295" t="str">
        <f>IF(G3&lt;5,"",Q270*H270*L270*J270/1000000)</f>
        <v/>
      </c>
      <c r="N270" s="264">
        <f>N258</f>
        <v>400</v>
      </c>
      <c r="O270" s="264">
        <f>O258</f>
        <v>20</v>
      </c>
      <c r="P270" s="264">
        <f>P258</f>
        <v>1920.0000000000002</v>
      </c>
      <c r="Q270" s="264">
        <f>Q258</f>
        <v>280</v>
      </c>
      <c r="R270" s="264">
        <f>R258</f>
        <v>8.5</v>
      </c>
    </row>
    <row r="271" spans="3:18" x14ac:dyDescent="0.25">
      <c r="C271" s="317" t="str">
        <f>IF(G3&lt;5,"","số10")</f>
        <v/>
      </c>
      <c r="D271" s="296" t="str">
        <f>IF(G3&lt;5,"","Cạnh nhịp giữa")</f>
        <v/>
      </c>
      <c r="E271" s="297"/>
      <c r="F271" s="298" t="str">
        <f>IF(G3&lt;5,"","Cắt 1 f")</f>
        <v/>
      </c>
      <c r="G271" s="299" t="str">
        <f>IF(G3&lt;5,"",INT(MID(F270,10,2)))</f>
        <v/>
      </c>
      <c r="H271" s="298" t="str">
        <f>IF(G3&lt;5,"","Còn 2 f")</f>
        <v/>
      </c>
      <c r="I271" s="299" t="str">
        <f>IF(G3&lt;5,"",INT(MID(F270,3,2)))</f>
        <v/>
      </c>
      <c r="J271" s="296"/>
      <c r="K271" s="300"/>
      <c r="L271" s="301"/>
      <c r="M271" s="301"/>
      <c r="N271" s="264">
        <f>N258</f>
        <v>400</v>
      </c>
      <c r="O271" s="264">
        <f>O258</f>
        <v>20</v>
      </c>
      <c r="P271" s="264">
        <f>P258</f>
        <v>1920.0000000000002</v>
      </c>
      <c r="Q271" s="264">
        <f>Q258</f>
        <v>280</v>
      </c>
      <c r="R271" s="264">
        <f>R258</f>
        <v>8.5</v>
      </c>
    </row>
    <row r="272" spans="3:18" x14ac:dyDescent="0.25">
      <c r="D272" s="302"/>
      <c r="E272" s="303"/>
      <c r="F272" s="302"/>
      <c r="G272" s="304" t="str">
        <f>IF(G3&lt;5,"","Có As =")</f>
        <v/>
      </c>
      <c r="H272" s="305" t="str">
        <f>IF(G3&lt;5,"",IF(G271=22,H270-380,IF(G271=20,H270-315,IF(G271=18,H270-254,IF(G271=16,H270-201,IF(G271=14,H270-154,IF(G271=12,H270-113,IF(G271=10,H270-79,IF(G271=8,H270-50,IF(G271=6,H270-28))))))))))</f>
        <v/>
      </c>
      <c r="I272" s="305"/>
      <c r="J272" s="306" t="str">
        <f>IF(G3&lt;5,"",N271-O271-0.5*I271)</f>
        <v/>
      </c>
      <c r="K272" s="307" t="str">
        <f>IF(G3&lt;5,"",(Q272*H272)/(R272*P272*N272))</f>
        <v/>
      </c>
      <c r="L272" s="308" t="str">
        <f>IF(G3&lt;5,"",1-0.5*K272)</f>
        <v/>
      </c>
      <c r="M272" s="308" t="str">
        <f>IF(G3&lt;5,"",Q272*H272*L272*J272/1000000)</f>
        <v/>
      </c>
      <c r="N272" s="264">
        <f>N258</f>
        <v>400</v>
      </c>
      <c r="O272" s="264">
        <f>O258</f>
        <v>20</v>
      </c>
      <c r="P272" s="264">
        <f>P258</f>
        <v>1920.0000000000002</v>
      </c>
      <c r="Q272" s="264">
        <f>Q258</f>
        <v>280</v>
      </c>
      <c r="R272" s="264">
        <f>R258</f>
        <v>8.5</v>
      </c>
    </row>
    <row r="273" spans="2:18" x14ac:dyDescent="0.25">
      <c r="N273" s="401"/>
      <c r="O273" s="401"/>
      <c r="P273" s="401"/>
      <c r="Q273" s="401"/>
      <c r="R273" s="401"/>
    </row>
    <row r="274" spans="2:18" ht="16.5" thickBot="1" x14ac:dyDescent="0.3">
      <c r="B274" s="126" t="s">
        <v>451</v>
      </c>
    </row>
    <row r="275" spans="2:18" x14ac:dyDescent="0.25">
      <c r="D275" s="326"/>
      <c r="E275" s="327"/>
      <c r="F275" s="327"/>
      <c r="G275" s="327"/>
      <c r="H275" s="327"/>
      <c r="I275" s="327"/>
      <c r="J275" s="327"/>
      <c r="K275" s="327"/>
      <c r="L275" s="327"/>
      <c r="M275" s="329"/>
    </row>
    <row r="276" spans="2:18" x14ac:dyDescent="0.25">
      <c r="D276" s="330"/>
      <c r="E276" s="331"/>
      <c r="F276" s="331"/>
      <c r="G276" s="331"/>
      <c r="H276" s="331"/>
      <c r="I276" s="331"/>
      <c r="J276" s="331"/>
      <c r="K276" s="331"/>
      <c r="L276" s="331"/>
      <c r="M276" s="333"/>
    </row>
    <row r="277" spans="2:18" x14ac:dyDescent="0.25">
      <c r="D277" s="330"/>
      <c r="E277" s="331"/>
      <c r="F277" s="331"/>
      <c r="G277" s="331"/>
      <c r="H277" s="331"/>
      <c r="I277" s="331"/>
      <c r="J277" s="331"/>
      <c r="K277" s="331"/>
      <c r="L277" s="331"/>
      <c r="M277" s="333"/>
    </row>
    <row r="278" spans="2:18" x14ac:dyDescent="0.25">
      <c r="D278" s="330"/>
      <c r="E278" s="331"/>
      <c r="F278" s="331"/>
      <c r="G278" s="331"/>
      <c r="H278" s="331"/>
      <c r="I278" s="331"/>
      <c r="J278" s="331"/>
      <c r="K278" s="331"/>
      <c r="L278" s="331"/>
      <c r="M278" s="333"/>
    </row>
    <row r="279" spans="2:18" x14ac:dyDescent="0.25">
      <c r="D279" s="330"/>
      <c r="E279" s="331"/>
      <c r="F279" s="331"/>
      <c r="G279" s="331"/>
      <c r="H279" s="331"/>
      <c r="I279" s="331"/>
      <c r="J279" s="331"/>
      <c r="K279" s="331"/>
      <c r="L279" s="331"/>
      <c r="M279" s="333"/>
    </row>
    <row r="280" spans="2:18" x14ac:dyDescent="0.25">
      <c r="D280" s="330"/>
      <c r="E280" s="331"/>
      <c r="F280" s="331"/>
      <c r="G280" s="331"/>
      <c r="H280" s="331"/>
      <c r="I280" s="331"/>
      <c r="J280" s="331"/>
      <c r="K280" s="331"/>
      <c r="L280" s="331"/>
      <c r="M280" s="333"/>
    </row>
    <row r="281" spans="2:18" x14ac:dyDescent="0.25">
      <c r="D281" s="330"/>
      <c r="E281" s="331"/>
      <c r="F281" s="331"/>
      <c r="G281" s="344" t="s">
        <v>520</v>
      </c>
      <c r="H281" s="331"/>
      <c r="I281" s="331"/>
      <c r="J281" s="331"/>
      <c r="K281" s="331"/>
      <c r="L281" s="331"/>
      <c r="M281" s="333"/>
    </row>
    <row r="282" spans="2:18" x14ac:dyDescent="0.25">
      <c r="D282" s="330"/>
      <c r="E282" s="331"/>
      <c r="F282" s="331"/>
      <c r="G282" s="331"/>
      <c r="H282" s="331"/>
      <c r="I282" s="331"/>
      <c r="J282" s="331"/>
      <c r="K282" s="331"/>
      <c r="L282" s="331"/>
      <c r="M282" s="333"/>
    </row>
    <row r="283" spans="2:18" x14ac:dyDescent="0.25">
      <c r="D283" s="330"/>
      <c r="E283" s="331"/>
      <c r="F283" s="331"/>
      <c r="G283" s="331"/>
      <c r="H283" s="331"/>
      <c r="I283" s="331"/>
      <c r="J283" s="331"/>
      <c r="K283" s="331"/>
      <c r="L283" s="331"/>
      <c r="M283" s="333"/>
    </row>
    <row r="284" spans="2:18" x14ac:dyDescent="0.25">
      <c r="D284" s="330"/>
      <c r="E284" s="331"/>
      <c r="F284" s="331"/>
      <c r="G284" s="331"/>
      <c r="H284" s="331" t="s">
        <v>522</v>
      </c>
      <c r="I284" s="331"/>
      <c r="J284" s="331"/>
      <c r="K284" s="331"/>
      <c r="L284" s="331"/>
      <c r="M284" s="333"/>
    </row>
    <row r="285" spans="2:18" ht="16.5" thickBot="1" x14ac:dyDescent="0.3">
      <c r="D285" s="334"/>
      <c r="E285" s="335"/>
      <c r="F285" s="335"/>
      <c r="G285" s="335"/>
      <c r="H285" s="335"/>
      <c r="I285" s="335"/>
      <c r="J285" s="335"/>
      <c r="K285" s="335"/>
      <c r="L285" s="335"/>
      <c r="M285" s="337"/>
    </row>
    <row r="286" spans="2:18" x14ac:dyDescent="0.25">
      <c r="C286" s="237" t="s">
        <v>139</v>
      </c>
      <c r="D286" s="3" t="s">
        <v>573</v>
      </c>
    </row>
    <row r="287" spans="2:18" x14ac:dyDescent="0.25">
      <c r="C287" s="312" t="s">
        <v>99</v>
      </c>
      <c r="D287" s="232" t="s">
        <v>453</v>
      </c>
    </row>
    <row r="288" spans="2:18" x14ac:dyDescent="0.25">
      <c r="D288" s="3" t="s">
        <v>574</v>
      </c>
      <c r="L288" s="246">
        <f>M263</f>
        <v>38.721819773262041</v>
      </c>
      <c r="M288" s="3" t="s">
        <v>426</v>
      </c>
    </row>
    <row r="289" spans="3:13" x14ac:dyDescent="0.25">
      <c r="D289" s="3" t="s">
        <v>575</v>
      </c>
    </row>
    <row r="290" spans="3:13" x14ac:dyDescent="0.25">
      <c r="D290" s="3" t="s">
        <v>576</v>
      </c>
      <c r="K290" s="180">
        <f>(K79*(ABS(I62)-L288)/ABS(I62))*1000</f>
        <v>309.98725359354268</v>
      </c>
      <c r="L290" s="3" t="s">
        <v>80</v>
      </c>
    </row>
    <row r="291" spans="3:13" x14ac:dyDescent="0.25">
      <c r="C291" s="312" t="s">
        <v>99</v>
      </c>
      <c r="D291" s="232" t="s">
        <v>452</v>
      </c>
    </row>
    <row r="292" spans="3:13" x14ac:dyDescent="0.25">
      <c r="D292" s="3" t="s">
        <v>577</v>
      </c>
      <c r="L292" s="246">
        <f>L288</f>
        <v>38.721819773262041</v>
      </c>
      <c r="M292" s="3" t="s">
        <v>426</v>
      </c>
    </row>
    <row r="293" spans="3:13" x14ac:dyDescent="0.25">
      <c r="D293" s="3" t="s">
        <v>578</v>
      </c>
    </row>
    <row r="294" spans="3:13" x14ac:dyDescent="0.25">
      <c r="D294" s="3" t="s">
        <v>579</v>
      </c>
      <c r="K294" s="180">
        <f>200*M12*(ABS(I62)-L292)/(ABS(I62)-ABS(I64))</f>
        <v>419.23904832497516</v>
      </c>
      <c r="L294" s="3" t="s">
        <v>80</v>
      </c>
    </row>
    <row r="295" spans="3:13" x14ac:dyDescent="0.25">
      <c r="C295" s="237" t="s">
        <v>139</v>
      </c>
      <c r="D295" s="3" t="s">
        <v>580</v>
      </c>
    </row>
    <row r="296" spans="3:13" x14ac:dyDescent="0.25">
      <c r="C296" s="312" t="s">
        <v>99</v>
      </c>
      <c r="D296" s="232" t="s">
        <v>453</v>
      </c>
    </row>
    <row r="297" spans="3:13" x14ac:dyDescent="0.25">
      <c r="D297" s="3" t="s">
        <v>581</v>
      </c>
    </row>
    <row r="299" spans="3:13" x14ac:dyDescent="0.25">
      <c r="E299"/>
    </row>
    <row r="300" spans="3:13" ht="20.25" x14ac:dyDescent="0.25">
      <c r="F300" s="136">
        <f>(ABS(I62))</f>
        <v>52.199596449000012</v>
      </c>
      <c r="G300" s="313" t="s">
        <v>99</v>
      </c>
      <c r="H300" s="130">
        <v>0</v>
      </c>
      <c r="I300" s="314" t="s">
        <v>76</v>
      </c>
      <c r="J300" s="133">
        <f>F300/G301</f>
        <v>43.478486678068769</v>
      </c>
      <c r="K300" s="3" t="s">
        <v>384</v>
      </c>
    </row>
    <row r="301" spans="3:13" x14ac:dyDescent="0.25">
      <c r="G301" s="135">
        <f>K79</f>
        <v>1.200584482976734</v>
      </c>
    </row>
    <row r="303" spans="3:13" ht="19.5" x14ac:dyDescent="0.25">
      <c r="E303" s="232" t="s">
        <v>454</v>
      </c>
    </row>
    <row r="304" spans="3:13" x14ac:dyDescent="0.25">
      <c r="D304" s="3" t="s">
        <v>455</v>
      </c>
      <c r="H304" s="3">
        <f>K226</f>
        <v>180</v>
      </c>
      <c r="I304" s="3" t="s">
        <v>176</v>
      </c>
    </row>
    <row r="305" spans="3:15" x14ac:dyDescent="0.25">
      <c r="D305" s="3" t="s">
        <v>456</v>
      </c>
    </row>
    <row r="307" spans="3:15" x14ac:dyDescent="0.25">
      <c r="E307"/>
      <c r="F307" s="2">
        <f>H89</f>
        <v>175</v>
      </c>
      <c r="G307" s="134" t="s">
        <v>119</v>
      </c>
      <c r="H307" s="239">
        <f>J208</f>
        <v>56.548667764616276</v>
      </c>
    </row>
    <row r="308" spans="3:15" x14ac:dyDescent="0.25">
      <c r="F308" s="127" t="s">
        <v>457</v>
      </c>
      <c r="I308" s="239">
        <f>F307*H307/G309</f>
        <v>54.977871437821378</v>
      </c>
      <c r="J308" s="3" t="s">
        <v>458</v>
      </c>
      <c r="K308" s="133">
        <f>I308</f>
        <v>54.977871437821378</v>
      </c>
      <c r="L308" s="3" t="s">
        <v>131</v>
      </c>
    </row>
    <row r="309" spans="3:15" x14ac:dyDescent="0.25">
      <c r="G309" s="2">
        <f>H304</f>
        <v>180</v>
      </c>
    </row>
    <row r="310" spans="3:15" x14ac:dyDescent="0.25">
      <c r="D310" s="3" t="s">
        <v>459</v>
      </c>
    </row>
    <row r="312" spans="3:15" x14ac:dyDescent="0.25">
      <c r="G312" s="239">
        <f>J300</f>
        <v>43.478486678068769</v>
      </c>
      <c r="H312" s="127" t="s">
        <v>462</v>
      </c>
    </row>
    <row r="313" spans="3:15" x14ac:dyDescent="0.25">
      <c r="E313"/>
      <c r="G313" s="127" t="s">
        <v>461</v>
      </c>
      <c r="I313" s="230" t="s">
        <v>463</v>
      </c>
      <c r="J313" s="3">
        <f>G262/1000</f>
        <v>1.6E-2</v>
      </c>
      <c r="K313" s="127" t="s">
        <v>76</v>
      </c>
      <c r="L313" s="135">
        <f>G312/(2*H314)+5*J313</f>
        <v>0.47541806131255804</v>
      </c>
      <c r="M313" s="3" t="s">
        <v>464</v>
      </c>
      <c r="N313" s="180">
        <f>L313*1000</f>
        <v>475.41806131255805</v>
      </c>
      <c r="O313" s="3" t="s">
        <v>80</v>
      </c>
    </row>
    <row r="314" spans="3:15" x14ac:dyDescent="0.25">
      <c r="G314" s="230" t="s">
        <v>460</v>
      </c>
      <c r="H314" s="133">
        <f>K308</f>
        <v>54.977871437821378</v>
      </c>
    </row>
    <row r="315" spans="3:15" x14ac:dyDescent="0.25">
      <c r="E315" s="3" t="s">
        <v>582</v>
      </c>
      <c r="G315" s="230"/>
      <c r="H315" s="133"/>
    </row>
    <row r="316" spans="3:15" x14ac:dyDescent="0.25">
      <c r="C316" s="312" t="s">
        <v>99</v>
      </c>
      <c r="D316" s="232" t="s">
        <v>452</v>
      </c>
    </row>
    <row r="317" spans="3:15" x14ac:dyDescent="0.25">
      <c r="D317" s="3" t="s">
        <v>583</v>
      </c>
    </row>
    <row r="319" spans="3:15" x14ac:dyDescent="0.25">
      <c r="E319"/>
    </row>
    <row r="320" spans="3:15" ht="20.25" x14ac:dyDescent="0.25">
      <c r="F320" s="315">
        <f>ABS(I62)</f>
        <v>52.199596449000012</v>
      </c>
      <c r="G320" s="313" t="s">
        <v>99</v>
      </c>
      <c r="H320" s="316">
        <f>ABS(I64)</f>
        <v>19.408442418432656</v>
      </c>
      <c r="I320" s="314" t="s">
        <v>76</v>
      </c>
      <c r="J320" s="133">
        <f>(F320-H320)/(0.2*G321)</f>
        <v>32.148190226046417</v>
      </c>
      <c r="K320" s="3" t="s">
        <v>384</v>
      </c>
    </row>
    <row r="321" spans="3:15" x14ac:dyDescent="0.25">
      <c r="F321" s="131" t="s">
        <v>465</v>
      </c>
      <c r="G321" s="133">
        <f>M12</f>
        <v>5.1000000000000005</v>
      </c>
    </row>
    <row r="323" spans="3:15" ht="19.5" x14ac:dyDescent="0.25">
      <c r="E323" s="232" t="s">
        <v>466</v>
      </c>
    </row>
    <row r="324" spans="3:15" x14ac:dyDescent="0.25">
      <c r="D324" s="3" t="s">
        <v>455</v>
      </c>
      <c r="H324" s="3">
        <f>K226</f>
        <v>180</v>
      </c>
      <c r="I324" s="3" t="s">
        <v>176</v>
      </c>
    </row>
    <row r="325" spans="3:15" x14ac:dyDescent="0.25">
      <c r="D325" s="3" t="s">
        <v>456</v>
      </c>
    </row>
    <row r="327" spans="3:15" x14ac:dyDescent="0.25">
      <c r="E327"/>
      <c r="F327" s="2">
        <f>H89</f>
        <v>175</v>
      </c>
      <c r="G327" s="134" t="s">
        <v>119</v>
      </c>
      <c r="H327" s="239">
        <f>J208</f>
        <v>56.548667764616276</v>
      </c>
    </row>
    <row r="328" spans="3:15" x14ac:dyDescent="0.25">
      <c r="F328" s="127" t="s">
        <v>457</v>
      </c>
      <c r="I328" s="239">
        <f>F327*H327/G329</f>
        <v>54.977871437821378</v>
      </c>
      <c r="J328" s="3" t="s">
        <v>458</v>
      </c>
      <c r="K328" s="133">
        <f>I328</f>
        <v>54.977871437821378</v>
      </c>
      <c r="L328" s="3" t="s">
        <v>131</v>
      </c>
    </row>
    <row r="329" spans="3:15" x14ac:dyDescent="0.25">
      <c r="G329" s="2">
        <f>H324</f>
        <v>180</v>
      </c>
    </row>
    <row r="330" spans="3:15" x14ac:dyDescent="0.25">
      <c r="D330" s="3" t="s">
        <v>459</v>
      </c>
    </row>
    <row r="332" spans="3:15" x14ac:dyDescent="0.25">
      <c r="G332" s="239">
        <f>J320</f>
        <v>32.148190226046417</v>
      </c>
      <c r="H332" s="127" t="s">
        <v>462</v>
      </c>
    </row>
    <row r="333" spans="3:15" x14ac:dyDescent="0.25">
      <c r="E333"/>
      <c r="G333" s="127" t="s">
        <v>461</v>
      </c>
      <c r="I333" s="230" t="s">
        <v>463</v>
      </c>
      <c r="J333" s="3">
        <f>G262/1000</f>
        <v>1.6E-2</v>
      </c>
      <c r="K333" s="127" t="s">
        <v>76</v>
      </c>
      <c r="L333" s="135">
        <f>G332/(2*H334)+5*J333</f>
        <v>0.37237390776764823</v>
      </c>
      <c r="M333" s="3" t="s">
        <v>464</v>
      </c>
      <c r="N333" s="180">
        <f>L333*1000</f>
        <v>372.37390776764823</v>
      </c>
      <c r="O333" s="3" t="s">
        <v>80</v>
      </c>
    </row>
    <row r="334" spans="3:15" x14ac:dyDescent="0.25">
      <c r="G334" s="230" t="s">
        <v>460</v>
      </c>
      <c r="H334" s="133">
        <f>K328</f>
        <v>54.977871437821378</v>
      </c>
    </row>
    <row r="335" spans="3:15" x14ac:dyDescent="0.25">
      <c r="E335" s="3" t="s">
        <v>467</v>
      </c>
    </row>
    <row r="336" spans="3:15" x14ac:dyDescent="0.25">
      <c r="C336" s="237" t="s">
        <v>468</v>
      </c>
      <c r="D336" s="3" t="s">
        <v>532</v>
      </c>
    </row>
    <row r="337" spans="2:18" x14ac:dyDescent="0.25">
      <c r="C337" s="237"/>
      <c r="E337" s="126" t="s">
        <v>533</v>
      </c>
    </row>
    <row r="338" spans="2:18" ht="16.5" thickBot="1" x14ac:dyDescent="0.3"/>
    <row r="339" spans="2:18" ht="16.5" thickBot="1" x14ac:dyDescent="0.3">
      <c r="D339" s="320"/>
      <c r="E339" s="321" t="s">
        <v>475</v>
      </c>
      <c r="F339" s="322" t="s">
        <v>474</v>
      </c>
      <c r="G339" s="320"/>
      <c r="H339" s="323" t="s">
        <v>476</v>
      </c>
      <c r="I339" s="323"/>
      <c r="J339" s="322"/>
      <c r="K339" s="324" t="s">
        <v>480</v>
      </c>
      <c r="L339" s="322" t="s">
        <v>481</v>
      </c>
      <c r="M339" s="397" t="s">
        <v>602</v>
      </c>
      <c r="N339" s="229" t="s">
        <v>600</v>
      </c>
      <c r="O339" s="229" t="s">
        <v>601</v>
      </c>
      <c r="P339" s="222"/>
      <c r="Q339" s="401"/>
    </row>
    <row r="340" spans="2:18" ht="20.25" thickBot="1" x14ac:dyDescent="0.3">
      <c r="D340" s="318" t="s">
        <v>584</v>
      </c>
      <c r="E340" s="7"/>
      <c r="F340" s="319"/>
      <c r="G340" s="320" t="s">
        <v>477</v>
      </c>
      <c r="H340" s="323"/>
      <c r="I340" s="400">
        <f>IF(M260&lt;H57,(1000*((0.2*M9*M260)/H57)-0.5*Bản!M5),(1000*(0.2*M9+(0.2*M9*(M260-H57))/(H58-H57)))-0.5*Bản!M5)</f>
        <v>1169.0193395714239</v>
      </c>
      <c r="J340" s="393" t="s">
        <v>80</v>
      </c>
      <c r="K340" s="394" t="s">
        <v>589</v>
      </c>
      <c r="L340" s="395">
        <f>1000*(M340+N340/O340)</f>
        <v>520.78711078394053</v>
      </c>
      <c r="M340" s="398">
        <f>5*G259/1000</f>
        <v>0.09</v>
      </c>
      <c r="N340" s="229">
        <f>H57/(0.2*M9)</f>
        <v>47.367516787500001</v>
      </c>
      <c r="O340" s="399">
        <f>2*K328</f>
        <v>109.95574287564276</v>
      </c>
      <c r="P340" s="222"/>
      <c r="Q340" s="401"/>
    </row>
    <row r="341" spans="2:18" ht="20.25" thickBot="1" x14ac:dyDescent="0.3">
      <c r="D341" s="320" t="s">
        <v>585</v>
      </c>
      <c r="E341" s="323"/>
      <c r="F341" s="322"/>
      <c r="G341" s="320" t="s">
        <v>478</v>
      </c>
      <c r="H341" s="323"/>
      <c r="I341" s="236">
        <f>1000*(0.2*M9+((M260-H61)*0.2*M9/(H60-H61)))</f>
        <v>1965.6906088961018</v>
      </c>
      <c r="J341" s="393" t="s">
        <v>80</v>
      </c>
      <c r="K341" s="394" t="s">
        <v>590</v>
      </c>
      <c r="L341" s="395">
        <f t="shared" ref="L341:L345" si="0">1000*(M341+N341/O341)</f>
        <v>454.51217066333425</v>
      </c>
      <c r="M341" s="398">
        <f>5*G259/1000</f>
        <v>0.09</v>
      </c>
      <c r="N341" s="229">
        <f>(H60-H61)/(0.2*M9)</f>
        <v>40.080206512499998</v>
      </c>
      <c r="O341" s="399">
        <f>O340</f>
        <v>109.95574287564276</v>
      </c>
      <c r="P341" s="222"/>
      <c r="Q341" s="401"/>
    </row>
    <row r="342" spans="2:18" ht="20.25" thickBot="1" x14ac:dyDescent="0.3">
      <c r="D342" s="318" t="s">
        <v>586</v>
      </c>
      <c r="E342" s="7"/>
      <c r="F342" s="319"/>
      <c r="G342" s="320" t="s">
        <v>588</v>
      </c>
      <c r="H342" s="323"/>
      <c r="I342" s="400">
        <f>1000*(0.2*M12+(0.2*M12*(M266-H64))/(H65-H64))</f>
        <v>1677.1394400136428</v>
      </c>
      <c r="J342" s="393" t="s">
        <v>80</v>
      </c>
      <c r="K342" s="394" t="s">
        <v>591</v>
      </c>
      <c r="L342" s="395">
        <f t="shared" si="0"/>
        <v>330.37723225043192</v>
      </c>
      <c r="M342" s="398">
        <f>5*G265/1000</f>
        <v>7.0000000000000007E-2</v>
      </c>
      <c r="N342" s="229">
        <f>(H65-H64)/(0.2*M12)</f>
        <v>28.629972000000006</v>
      </c>
      <c r="O342" s="399">
        <f>O340</f>
        <v>109.95574287564276</v>
      </c>
      <c r="P342" s="222"/>
      <c r="Q342" s="401"/>
    </row>
    <row r="343" spans="2:18" ht="20.25" thickBot="1" x14ac:dyDescent="0.3">
      <c r="D343" s="320" t="s">
        <v>587</v>
      </c>
      <c r="E343" s="323"/>
      <c r="F343" s="322"/>
      <c r="G343" s="320" t="str">
        <f>IF(G3&lt;4,"","Cách mép trái gối 3 là")</f>
        <v>Cách mép trái gối 3 là</v>
      </c>
      <c r="H343" s="323"/>
      <c r="I343" s="400">
        <f>IF(G3&lt;4,"",I342)</f>
        <v>1677.1394400136428</v>
      </c>
      <c r="J343" s="393" t="s">
        <v>80</v>
      </c>
      <c r="K343" s="394" t="s">
        <v>592</v>
      </c>
      <c r="L343" s="395">
        <f t="shared" si="0"/>
        <v>330.37723225043192</v>
      </c>
      <c r="M343" s="398">
        <f>5*G265/1000</f>
        <v>7.0000000000000007E-2</v>
      </c>
      <c r="N343" s="229">
        <f>(H67-H68)/(0.2*M12)</f>
        <v>28.629972000000006</v>
      </c>
      <c r="O343" s="399">
        <f>O340</f>
        <v>109.95574287564276</v>
      </c>
      <c r="P343" s="222"/>
      <c r="Q343" s="401"/>
    </row>
    <row r="344" spans="2:18" ht="20.25" thickBot="1" x14ac:dyDescent="0.3">
      <c r="D344" s="318" t="str">
        <f>IF(G3&lt;4,"","Cốt thép số 8 (đầu bên trái)")</f>
        <v>Cốt thép số 8 (đầu bên trái)</v>
      </c>
      <c r="E344" s="7"/>
      <c r="F344" s="319"/>
      <c r="G344" s="320" t="str">
        <f>IF(G3&lt;4,"","Cách mép trái gối 3 là")</f>
        <v>Cách mép trái gối 3 là</v>
      </c>
      <c r="H344" s="323"/>
      <c r="I344" s="400">
        <f>IF(G3&lt;4,"",1000*(0.2*M12*(M269-ABS(I69))/(ABS(I68)-ABS(I69))))</f>
        <v>510.51265744243125</v>
      </c>
      <c r="J344" s="393" t="str">
        <f>IF(G3&lt;4,"","mm.")</f>
        <v>mm.</v>
      </c>
      <c r="K344" s="394" t="s">
        <v>593</v>
      </c>
      <c r="L344" s="395">
        <f t="shared" si="0"/>
        <v>352.84561534886592</v>
      </c>
      <c r="M344" s="398">
        <f>IF(G3&lt;4,"",5*G268/1000)</f>
        <v>0.08</v>
      </c>
      <c r="N344" s="229">
        <f>IF(G3&lt;4,"",(I68-I69)/(0.2*M12))</f>
        <v>30.000942326046427</v>
      </c>
      <c r="O344" s="399">
        <f>O340</f>
        <v>109.95574287564276</v>
      </c>
      <c r="P344" s="222"/>
      <c r="Q344" s="401"/>
    </row>
    <row r="345" spans="2:18" ht="20.25" thickBot="1" x14ac:dyDescent="0.3">
      <c r="D345" s="320" t="str">
        <f>IF(G3&lt;4,"","Cốt thép số 8 (đầu bên phải)")</f>
        <v>Cốt thép số 8 (đầu bên phải)</v>
      </c>
      <c r="E345" s="323"/>
      <c r="F345" s="322"/>
      <c r="G345" s="320" t="str">
        <f>IF(G3&lt;4,"","Cách mép phải gối 3 là")</f>
        <v>Cách mép phải gối 3 là</v>
      </c>
      <c r="H345" s="323"/>
      <c r="I345" s="400">
        <f>IF(G3&lt;4,"",I344)</f>
        <v>510.51265744243125</v>
      </c>
      <c r="J345" s="393" t="str">
        <f>IF(G3&lt;4,"","mm.")</f>
        <v>mm.</v>
      </c>
      <c r="K345" s="394" t="s">
        <v>594</v>
      </c>
      <c r="L345" s="395">
        <f t="shared" si="0"/>
        <v>352.84561534886592</v>
      </c>
      <c r="M345" s="398">
        <f>IF(G3&lt;4,"",5*G268/1000)</f>
        <v>0.08</v>
      </c>
      <c r="N345" s="229">
        <f>IF(G3&lt;4,"",N344)</f>
        <v>30.000942326046427</v>
      </c>
      <c r="O345" s="399">
        <f>O340</f>
        <v>109.95574287564276</v>
      </c>
      <c r="P345" s="222"/>
      <c r="Q345" s="401"/>
    </row>
    <row r="346" spans="2:18" ht="20.25" thickBot="1" x14ac:dyDescent="0.3">
      <c r="D346" s="320" t="str">
        <f>IF(G3&lt;5,"","Cốt thép số 6 (đầu bên trái, nhịp 3)")</f>
        <v/>
      </c>
      <c r="E346" s="323"/>
      <c r="F346" s="322"/>
      <c r="G346" s="320" t="str">
        <f>IF(G3&lt;5,"","Cách mép phải gối 3 là")</f>
        <v/>
      </c>
      <c r="H346" s="323"/>
      <c r="I346" s="400" t="str">
        <f>IF(G3&lt;5,"",I343)</f>
        <v/>
      </c>
      <c r="J346" s="393" t="str">
        <f>IF(G3&lt;5,"","mm.")</f>
        <v/>
      </c>
      <c r="K346" s="394" t="s">
        <v>595</v>
      </c>
      <c r="L346" s="395" t="str">
        <f>IF(G3&lt;5,"",1000*(M346+N346/O346))</f>
        <v/>
      </c>
      <c r="M346" s="398" t="str">
        <f>IF(G3&lt;5,"",5*G271/1000)</f>
        <v/>
      </c>
      <c r="N346" s="229" t="str">
        <f>IF(G3&lt;5,"",(H72-H71)/(0.2*M12))</f>
        <v/>
      </c>
      <c r="O346" s="399">
        <f>O340</f>
        <v>109.95574287564276</v>
      </c>
      <c r="P346" s="222"/>
      <c r="Q346" s="401"/>
    </row>
    <row r="347" spans="2:18" x14ac:dyDescent="0.25">
      <c r="D347" s="7"/>
      <c r="E347" s="7"/>
      <c r="F347" s="7"/>
      <c r="G347" s="7"/>
      <c r="H347" s="7"/>
      <c r="I347" s="7"/>
      <c r="J347" s="7"/>
      <c r="K347" s="7"/>
      <c r="L347" s="7"/>
      <c r="M347" s="416"/>
      <c r="N347" s="415"/>
      <c r="O347" s="415"/>
      <c r="P347" s="415"/>
      <c r="Q347" s="396"/>
      <c r="R347" s="2"/>
    </row>
    <row r="348" spans="2:18" x14ac:dyDescent="0.25">
      <c r="B348" s="126" t="s">
        <v>469</v>
      </c>
      <c r="C348" s="126" t="s">
        <v>204</v>
      </c>
      <c r="M348" s="7"/>
    </row>
    <row r="349" spans="2:18" x14ac:dyDescent="0.25">
      <c r="D349" s="3" t="s">
        <v>479</v>
      </c>
    </row>
    <row r="350" spans="2:18" ht="18" x14ac:dyDescent="0.25">
      <c r="D350" s="3" t="s">
        <v>470</v>
      </c>
      <c r="F350" s="201" t="s">
        <v>471</v>
      </c>
      <c r="G350" s="3" t="s">
        <v>472</v>
      </c>
      <c r="I350" s="131" t="s">
        <v>473</v>
      </c>
      <c r="J350" s="2">
        <f>F170</f>
        <v>220</v>
      </c>
      <c r="K350" s="2">
        <f>J170</f>
        <v>371</v>
      </c>
      <c r="L350" s="129" t="s">
        <v>76</v>
      </c>
      <c r="M350" s="236">
        <f>J350*K350*0.001</f>
        <v>81.62</v>
      </c>
      <c r="N350" s="201" t="s">
        <v>340</v>
      </c>
    </row>
  </sheetData>
  <mergeCells count="5">
    <mergeCell ref="E134:F137"/>
    <mergeCell ref="G135:I135"/>
    <mergeCell ref="E138:G140"/>
    <mergeCell ref="H139:K139"/>
    <mergeCell ref="G128:K128"/>
  </mergeCells>
  <dataValidations disablePrompts="1" count="1">
    <dataValidation type="list" allowBlank="1" showInputMessage="1" showErrorMessage="1" sqref="F92 F112 I162">
      <formula1>"15,20,25,30,35,40"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5121" r:id="rId4">
          <objectPr defaultSize="0" autoPict="0" r:id="rId5">
            <anchor moveWithCells="1" sizeWithCells="1">
              <from>
                <xdr:col>4</xdr:col>
                <xdr:colOff>209550</xdr:colOff>
                <xdr:row>7</xdr:row>
                <xdr:rowOff>76200</xdr:rowOff>
              </from>
              <to>
                <xdr:col>7</xdr:col>
                <xdr:colOff>257175</xdr:colOff>
                <xdr:row>9</xdr:row>
                <xdr:rowOff>190500</xdr:rowOff>
              </to>
            </anchor>
          </objectPr>
        </oleObject>
      </mc:Choice>
      <mc:Fallback>
        <oleObject progId="Equation.3" shapeId="5121" r:id="rId4"/>
      </mc:Fallback>
    </mc:AlternateContent>
    <mc:AlternateContent xmlns:mc="http://schemas.openxmlformats.org/markup-compatibility/2006">
      <mc:Choice Requires="x14">
        <oleObject progId="Equation.3" shapeId="5122" r:id="rId6">
          <objectPr defaultSize="0" autoPict="0" r:id="rId7">
            <anchor moveWithCells="1" sizeWithCells="1">
              <from>
                <xdr:col>5</xdr:col>
                <xdr:colOff>457200</xdr:colOff>
                <xdr:row>41</xdr:row>
                <xdr:rowOff>238125</xdr:rowOff>
              </from>
              <to>
                <xdr:col>8</xdr:col>
                <xdr:colOff>0</xdr:colOff>
                <xdr:row>43</xdr:row>
                <xdr:rowOff>47625</xdr:rowOff>
              </to>
            </anchor>
          </objectPr>
        </oleObject>
      </mc:Choice>
      <mc:Fallback>
        <oleObject progId="Equation.3" shapeId="5122" r:id="rId6"/>
      </mc:Fallback>
    </mc:AlternateContent>
    <mc:AlternateContent xmlns:mc="http://schemas.openxmlformats.org/markup-compatibility/2006">
      <mc:Choice Requires="x14">
        <oleObject progId="Equation.3" shapeId="5124" r:id="rId8">
          <objectPr defaultSize="0" autoPict="0" r:id="rId9">
            <anchor moveWithCells="1" sizeWithCells="1">
              <from>
                <xdr:col>5</xdr:col>
                <xdr:colOff>447675</xdr:colOff>
                <xdr:row>43</xdr:row>
                <xdr:rowOff>209550</xdr:rowOff>
              </from>
              <to>
                <xdr:col>8</xdr:col>
                <xdr:colOff>9525</xdr:colOff>
                <xdr:row>45</xdr:row>
                <xdr:rowOff>28575</xdr:rowOff>
              </to>
            </anchor>
          </objectPr>
        </oleObject>
      </mc:Choice>
      <mc:Fallback>
        <oleObject progId="Equation.3" shapeId="5124" r:id="rId8"/>
      </mc:Fallback>
    </mc:AlternateContent>
    <mc:AlternateContent xmlns:mc="http://schemas.openxmlformats.org/markup-compatibility/2006">
      <mc:Choice Requires="x14">
        <oleObject progId="Equation.3" shapeId="5125" r:id="rId10">
          <objectPr defaultSize="0" autoPict="0" r:id="rId11">
            <anchor moveWithCells="1" sizeWithCells="1">
              <from>
                <xdr:col>7</xdr:col>
                <xdr:colOff>400050</xdr:colOff>
                <xdr:row>45</xdr:row>
                <xdr:rowOff>209550</xdr:rowOff>
              </from>
              <to>
                <xdr:col>9</xdr:col>
                <xdr:colOff>600075</xdr:colOff>
                <xdr:row>47</xdr:row>
                <xdr:rowOff>19050</xdr:rowOff>
              </to>
            </anchor>
          </objectPr>
        </oleObject>
      </mc:Choice>
      <mc:Fallback>
        <oleObject progId="Equation.3" shapeId="5125" r:id="rId10"/>
      </mc:Fallback>
    </mc:AlternateContent>
    <mc:AlternateContent xmlns:mc="http://schemas.openxmlformats.org/markup-compatibility/2006">
      <mc:Choice Requires="x14">
        <oleObject progId="Equation.3" shapeId="5128" r:id="rId12">
          <objectPr defaultSize="0" autoPict="0" r:id="rId13">
            <anchor moveWithCells="1" sizeWithCells="1">
              <from>
                <xdr:col>3</xdr:col>
                <xdr:colOff>447675</xdr:colOff>
                <xdr:row>79</xdr:row>
                <xdr:rowOff>190500</xdr:rowOff>
              </from>
              <to>
                <xdr:col>5</xdr:col>
                <xdr:colOff>590550</xdr:colOff>
                <xdr:row>81</xdr:row>
                <xdr:rowOff>28575</xdr:rowOff>
              </to>
            </anchor>
          </objectPr>
        </oleObject>
      </mc:Choice>
      <mc:Fallback>
        <oleObject progId="Equation.3" shapeId="5128" r:id="rId12"/>
      </mc:Fallback>
    </mc:AlternateContent>
    <mc:AlternateContent xmlns:mc="http://schemas.openxmlformats.org/markup-compatibility/2006">
      <mc:Choice Requires="x14">
        <oleObject progId="Equation.3" shapeId="5129" r:id="rId14">
          <objectPr defaultSize="0" autoPict="0" r:id="rId15">
            <anchor moveWithCells="1" sizeWithCells="1">
              <from>
                <xdr:col>3</xdr:col>
                <xdr:colOff>390525</xdr:colOff>
                <xdr:row>81</xdr:row>
                <xdr:rowOff>161925</xdr:rowOff>
              </from>
              <to>
                <xdr:col>5</xdr:col>
                <xdr:colOff>571500</xdr:colOff>
                <xdr:row>83</xdr:row>
                <xdr:rowOff>19050</xdr:rowOff>
              </to>
            </anchor>
          </objectPr>
        </oleObject>
      </mc:Choice>
      <mc:Fallback>
        <oleObject progId="Equation.3" shapeId="5129" r:id="rId14"/>
      </mc:Fallback>
    </mc:AlternateContent>
    <mc:AlternateContent xmlns:mc="http://schemas.openxmlformats.org/markup-compatibility/2006">
      <mc:Choice Requires="x14">
        <oleObject progId="Equation.3" shapeId="5130" r:id="rId16">
          <objectPr defaultSize="0" autoPict="0" r:id="rId17">
            <anchor moveWithCells="1" sizeWithCells="1">
              <from>
                <xdr:col>3</xdr:col>
                <xdr:colOff>85725</xdr:colOff>
                <xdr:row>84</xdr:row>
                <xdr:rowOff>0</xdr:rowOff>
              </from>
              <to>
                <xdr:col>5</xdr:col>
                <xdr:colOff>590550</xdr:colOff>
                <xdr:row>85</xdr:row>
                <xdr:rowOff>57150</xdr:rowOff>
              </to>
            </anchor>
          </objectPr>
        </oleObject>
      </mc:Choice>
      <mc:Fallback>
        <oleObject progId="Equation.3" shapeId="5130" r:id="rId16"/>
      </mc:Fallback>
    </mc:AlternateContent>
    <mc:AlternateContent xmlns:mc="http://schemas.openxmlformats.org/markup-compatibility/2006">
      <mc:Choice Requires="x14">
        <oleObject progId="Equation.3" shapeId="5133" r:id="rId18">
          <objectPr defaultSize="0" autoPict="0" r:id="rId19">
            <anchor moveWithCells="1" sizeWithCells="1">
              <from>
                <xdr:col>2</xdr:col>
                <xdr:colOff>238125</xdr:colOff>
                <xdr:row>92</xdr:row>
                <xdr:rowOff>190500</xdr:rowOff>
              </from>
              <to>
                <xdr:col>4</xdr:col>
                <xdr:colOff>600075</xdr:colOff>
                <xdr:row>95</xdr:row>
                <xdr:rowOff>180975</xdr:rowOff>
              </to>
            </anchor>
          </objectPr>
        </oleObject>
      </mc:Choice>
      <mc:Fallback>
        <oleObject progId="Equation.3" shapeId="5133" r:id="rId18"/>
      </mc:Fallback>
    </mc:AlternateContent>
    <mc:AlternateContent xmlns:mc="http://schemas.openxmlformats.org/markup-compatibility/2006">
      <mc:Choice Requires="x14">
        <oleObject progId="Equation.3" shapeId="5134" r:id="rId20">
          <objectPr defaultSize="0" autoPict="0" r:id="rId21">
            <anchor moveWithCells="1" sizeWithCells="1">
              <from>
                <xdr:col>11</xdr:col>
                <xdr:colOff>600075</xdr:colOff>
                <xdr:row>93</xdr:row>
                <xdr:rowOff>142875</xdr:rowOff>
              </from>
              <to>
                <xdr:col>13</xdr:col>
                <xdr:colOff>276225</xdr:colOff>
                <xdr:row>95</xdr:row>
                <xdr:rowOff>57150</xdr:rowOff>
              </to>
            </anchor>
          </objectPr>
        </oleObject>
      </mc:Choice>
      <mc:Fallback>
        <oleObject progId="Equation.3" shapeId="5134" r:id="rId20"/>
      </mc:Fallback>
    </mc:AlternateContent>
    <mc:AlternateContent xmlns:mc="http://schemas.openxmlformats.org/markup-compatibility/2006">
      <mc:Choice Requires="x14">
        <oleObject progId="Equation.3" shapeId="5135" r:id="rId22">
          <objectPr defaultSize="0" autoPict="0" r:id="rId23">
            <anchor moveWithCells="1" sizeWithCells="1">
              <from>
                <xdr:col>3</xdr:col>
                <xdr:colOff>142875</xdr:colOff>
                <xdr:row>97</xdr:row>
                <xdr:rowOff>142875</xdr:rowOff>
              </from>
              <to>
                <xdr:col>7</xdr:col>
                <xdr:colOff>38100</xdr:colOff>
                <xdr:row>100</xdr:row>
                <xdr:rowOff>0</xdr:rowOff>
              </to>
            </anchor>
          </objectPr>
        </oleObject>
      </mc:Choice>
      <mc:Fallback>
        <oleObject progId="Equation.3" shapeId="5135" r:id="rId22"/>
      </mc:Fallback>
    </mc:AlternateContent>
    <mc:AlternateContent xmlns:mc="http://schemas.openxmlformats.org/markup-compatibility/2006">
      <mc:Choice Requires="x14">
        <oleObject progId="Equation.3" shapeId="5137" r:id="rId24">
          <objectPr defaultSize="0" autoPict="0" r:id="rId25">
            <anchor moveWithCells="1" sizeWithCells="1">
              <from>
                <xdr:col>3</xdr:col>
                <xdr:colOff>161925</xdr:colOff>
                <xdr:row>100</xdr:row>
                <xdr:rowOff>19050</xdr:rowOff>
              </from>
              <to>
                <xdr:col>4</xdr:col>
                <xdr:colOff>571500</xdr:colOff>
                <xdr:row>103</xdr:row>
                <xdr:rowOff>9525</xdr:rowOff>
              </to>
            </anchor>
          </objectPr>
        </oleObject>
      </mc:Choice>
      <mc:Fallback>
        <oleObject progId="Equation.3" shapeId="5137" r:id="rId24"/>
      </mc:Fallback>
    </mc:AlternateContent>
    <mc:AlternateContent xmlns:mc="http://schemas.openxmlformats.org/markup-compatibility/2006">
      <mc:Choice Requires="x14">
        <oleObject progId="Equation.3" shapeId="5138" r:id="rId26">
          <objectPr defaultSize="0" autoPict="0" r:id="rId27">
            <anchor moveWithCells="1" sizeWithCells="1">
              <from>
                <xdr:col>3</xdr:col>
                <xdr:colOff>161925</xdr:colOff>
                <xdr:row>104</xdr:row>
                <xdr:rowOff>9525</xdr:rowOff>
              </from>
              <to>
                <xdr:col>5</xdr:col>
                <xdr:colOff>581025</xdr:colOff>
                <xdr:row>106</xdr:row>
                <xdr:rowOff>171450</xdr:rowOff>
              </to>
            </anchor>
          </objectPr>
        </oleObject>
      </mc:Choice>
      <mc:Fallback>
        <oleObject progId="Equation.3" shapeId="5138" r:id="rId26"/>
      </mc:Fallback>
    </mc:AlternateContent>
    <mc:AlternateContent xmlns:mc="http://schemas.openxmlformats.org/markup-compatibility/2006">
      <mc:Choice Requires="x14">
        <oleObject progId="Equation.3" shapeId="5156" r:id="rId28">
          <objectPr defaultSize="0" autoPict="0" r:id="rId29">
            <anchor moveWithCells="1" sizeWithCells="1">
              <from>
                <xdr:col>3</xdr:col>
                <xdr:colOff>0</xdr:colOff>
                <xdr:row>165</xdr:row>
                <xdr:rowOff>142875</xdr:rowOff>
              </from>
              <to>
                <xdr:col>5</xdr:col>
                <xdr:colOff>133350</xdr:colOff>
                <xdr:row>167</xdr:row>
                <xdr:rowOff>95250</xdr:rowOff>
              </to>
            </anchor>
          </objectPr>
        </oleObject>
      </mc:Choice>
      <mc:Fallback>
        <oleObject progId="Equation.3" shapeId="5156" r:id="rId28"/>
      </mc:Fallback>
    </mc:AlternateContent>
    <mc:AlternateContent xmlns:mc="http://schemas.openxmlformats.org/markup-compatibility/2006">
      <mc:Choice Requires="x14">
        <oleObject progId="Equation.3" shapeId="5157" r:id="rId30">
          <objectPr defaultSize="0" autoPict="0" r:id="rId31">
            <anchor moveWithCells="1" sizeWithCells="1">
              <from>
                <xdr:col>6</xdr:col>
                <xdr:colOff>0</xdr:colOff>
                <xdr:row>174</xdr:row>
                <xdr:rowOff>171450</xdr:rowOff>
              </from>
              <to>
                <xdr:col>8</xdr:col>
                <xdr:colOff>238125</xdr:colOff>
                <xdr:row>176</xdr:row>
                <xdr:rowOff>28575</xdr:rowOff>
              </to>
            </anchor>
          </objectPr>
        </oleObject>
      </mc:Choice>
      <mc:Fallback>
        <oleObject progId="Equation.3" shapeId="5157" r:id="rId30"/>
      </mc:Fallback>
    </mc:AlternateContent>
    <mc:AlternateContent xmlns:mc="http://schemas.openxmlformats.org/markup-compatibility/2006">
      <mc:Choice Requires="x14">
        <oleObject progId="Equation.3" shapeId="5158" r:id="rId32">
          <objectPr defaultSize="0" autoPict="0" r:id="rId33">
            <anchor moveWithCells="1" sizeWithCells="1">
              <from>
                <xdr:col>4</xdr:col>
                <xdr:colOff>0</xdr:colOff>
                <xdr:row>179</xdr:row>
                <xdr:rowOff>0</xdr:rowOff>
              </from>
              <to>
                <xdr:col>6</xdr:col>
                <xdr:colOff>504825</xdr:colOff>
                <xdr:row>181</xdr:row>
                <xdr:rowOff>190500</xdr:rowOff>
              </to>
            </anchor>
          </objectPr>
        </oleObject>
      </mc:Choice>
      <mc:Fallback>
        <oleObject progId="Equation.3" shapeId="5158" r:id="rId32"/>
      </mc:Fallback>
    </mc:AlternateContent>
    <mc:AlternateContent xmlns:mc="http://schemas.openxmlformats.org/markup-compatibility/2006">
      <mc:Choice Requires="x14">
        <oleObject progId="Equation.3" shapeId="5160" r:id="rId34">
          <objectPr defaultSize="0" autoPict="0" r:id="rId35">
            <anchor moveWithCells="1" sizeWithCells="1">
              <from>
                <xdr:col>3</xdr:col>
                <xdr:colOff>19050</xdr:colOff>
                <xdr:row>187</xdr:row>
                <xdr:rowOff>0</xdr:rowOff>
              </from>
              <to>
                <xdr:col>5</xdr:col>
                <xdr:colOff>885825</xdr:colOff>
                <xdr:row>190</xdr:row>
                <xdr:rowOff>9525</xdr:rowOff>
              </to>
            </anchor>
          </objectPr>
        </oleObject>
      </mc:Choice>
      <mc:Fallback>
        <oleObject progId="Equation.3" shapeId="5160" r:id="rId34"/>
      </mc:Fallback>
    </mc:AlternateContent>
    <mc:AlternateContent xmlns:mc="http://schemas.openxmlformats.org/markup-compatibility/2006">
      <mc:Choice Requires="x14">
        <oleObject progId="Equation.3" shapeId="5161" r:id="rId36">
          <objectPr defaultSize="0" autoPict="0" r:id="rId37">
            <anchor moveWithCells="1" sizeWithCells="1">
              <from>
                <xdr:col>5</xdr:col>
                <xdr:colOff>876300</xdr:colOff>
                <xdr:row>193</xdr:row>
                <xdr:rowOff>228600</xdr:rowOff>
              </from>
              <to>
                <xdr:col>9</xdr:col>
                <xdr:colOff>628650</xdr:colOff>
                <xdr:row>196</xdr:row>
                <xdr:rowOff>180975</xdr:rowOff>
              </to>
            </anchor>
          </objectPr>
        </oleObject>
      </mc:Choice>
      <mc:Fallback>
        <oleObject progId="Equation.3" shapeId="5161" r:id="rId36"/>
      </mc:Fallback>
    </mc:AlternateContent>
    <mc:AlternateContent xmlns:mc="http://schemas.openxmlformats.org/markup-compatibility/2006">
      <mc:Choice Requires="x14">
        <oleObject progId="Equation.3" shapeId="5162" r:id="rId38">
          <objectPr defaultSize="0" autoPict="0" r:id="rId39">
            <anchor moveWithCells="1" sizeWithCells="1">
              <from>
                <xdr:col>4</xdr:col>
                <xdr:colOff>666750</xdr:colOff>
                <xdr:row>197</xdr:row>
                <xdr:rowOff>0</xdr:rowOff>
              </from>
              <to>
                <xdr:col>8</xdr:col>
                <xdr:colOff>638175</xdr:colOff>
                <xdr:row>200</xdr:row>
                <xdr:rowOff>104775</xdr:rowOff>
              </to>
            </anchor>
          </objectPr>
        </oleObject>
      </mc:Choice>
      <mc:Fallback>
        <oleObject progId="Equation.3" shapeId="5162" r:id="rId38"/>
      </mc:Fallback>
    </mc:AlternateContent>
    <mc:AlternateContent xmlns:mc="http://schemas.openxmlformats.org/markup-compatibility/2006">
      <mc:Choice Requires="x14">
        <oleObject progId="Equation.3" shapeId="5163" r:id="rId40">
          <objectPr defaultSize="0" autoPict="0" r:id="rId41">
            <anchor moveWithCells="1" sizeWithCells="1">
              <from>
                <xdr:col>2</xdr:col>
                <xdr:colOff>238125</xdr:colOff>
                <xdr:row>205</xdr:row>
                <xdr:rowOff>190500</xdr:rowOff>
              </from>
              <to>
                <xdr:col>4</xdr:col>
                <xdr:colOff>676275</xdr:colOff>
                <xdr:row>208</xdr:row>
                <xdr:rowOff>152400</xdr:rowOff>
              </to>
            </anchor>
          </objectPr>
        </oleObject>
      </mc:Choice>
      <mc:Fallback>
        <oleObject progId="Equation.3" shapeId="5163" r:id="rId40"/>
      </mc:Fallback>
    </mc:AlternateContent>
    <mc:AlternateContent xmlns:mc="http://schemas.openxmlformats.org/markup-compatibility/2006">
      <mc:Choice Requires="x14">
        <oleObject progId="Equation.3" shapeId="5164" r:id="rId42">
          <objectPr defaultSize="0" autoPict="0" r:id="rId43">
            <anchor moveWithCells="1" sizeWithCells="1">
              <from>
                <xdr:col>3</xdr:col>
                <xdr:colOff>333375</xdr:colOff>
                <xdr:row>211</xdr:row>
                <xdr:rowOff>0</xdr:rowOff>
              </from>
              <to>
                <xdr:col>4</xdr:col>
                <xdr:colOff>685800</xdr:colOff>
                <xdr:row>214</xdr:row>
                <xdr:rowOff>9525</xdr:rowOff>
              </to>
            </anchor>
          </objectPr>
        </oleObject>
      </mc:Choice>
      <mc:Fallback>
        <oleObject progId="Equation.3" shapeId="5164" r:id="rId42"/>
      </mc:Fallback>
    </mc:AlternateContent>
    <mc:AlternateContent xmlns:mc="http://schemas.openxmlformats.org/markup-compatibility/2006">
      <mc:Choice Requires="x14">
        <oleObject progId="Equation.3" shapeId="5166" r:id="rId44">
          <objectPr defaultSize="0" autoPict="0" r:id="rId45">
            <anchor moveWithCells="1" sizeWithCells="1">
              <from>
                <xdr:col>3</xdr:col>
                <xdr:colOff>190500</xdr:colOff>
                <xdr:row>220</xdr:row>
                <xdr:rowOff>0</xdr:rowOff>
              </from>
              <to>
                <xdr:col>4</xdr:col>
                <xdr:colOff>685800</xdr:colOff>
                <xdr:row>223</xdr:row>
                <xdr:rowOff>9525</xdr:rowOff>
              </to>
            </anchor>
          </objectPr>
        </oleObject>
      </mc:Choice>
      <mc:Fallback>
        <oleObject progId="Equation.3" shapeId="5166" r:id="rId44"/>
      </mc:Fallback>
    </mc:AlternateContent>
    <mc:AlternateContent xmlns:mc="http://schemas.openxmlformats.org/markup-compatibility/2006">
      <mc:Choice Requires="x14">
        <oleObject progId="Equation.3" shapeId="5167" r:id="rId46">
          <objectPr defaultSize="0" autoPict="0" r:id="rId47">
            <anchor moveWithCells="1" sizeWithCells="1">
              <from>
                <xdr:col>3</xdr:col>
                <xdr:colOff>400050</xdr:colOff>
                <xdr:row>231</xdr:row>
                <xdr:rowOff>104775</xdr:rowOff>
              </from>
              <to>
                <xdr:col>7</xdr:col>
                <xdr:colOff>914400</xdr:colOff>
                <xdr:row>234</xdr:row>
                <xdr:rowOff>95250</xdr:rowOff>
              </to>
            </anchor>
          </objectPr>
        </oleObject>
      </mc:Choice>
      <mc:Fallback>
        <oleObject progId="Equation.3" shapeId="5167" r:id="rId46"/>
      </mc:Fallback>
    </mc:AlternateContent>
    <mc:AlternateContent xmlns:mc="http://schemas.openxmlformats.org/markup-compatibility/2006">
      <mc:Choice Requires="x14">
        <oleObject progId="Equation.3" shapeId="5168" r:id="rId48">
          <objectPr defaultSize="0" autoPict="0" r:id="rId47">
            <anchor moveWithCells="1" sizeWithCells="1">
              <from>
                <xdr:col>3</xdr:col>
                <xdr:colOff>409575</xdr:colOff>
                <xdr:row>243</xdr:row>
                <xdr:rowOff>114300</xdr:rowOff>
              </from>
              <to>
                <xdr:col>7</xdr:col>
                <xdr:colOff>923925</xdr:colOff>
                <xdr:row>246</xdr:row>
                <xdr:rowOff>104775</xdr:rowOff>
              </to>
            </anchor>
          </objectPr>
        </oleObject>
      </mc:Choice>
      <mc:Fallback>
        <oleObject progId="Equation.3" shapeId="5168" r:id="rId48"/>
      </mc:Fallback>
    </mc:AlternateContent>
    <mc:AlternateContent xmlns:mc="http://schemas.openxmlformats.org/markup-compatibility/2006">
      <mc:Choice Requires="x14">
        <oleObject progId="Equation.3" shapeId="5169" r:id="rId49">
          <objectPr defaultSize="0" autoPict="0" r:id="rId50">
            <anchor moveWithCells="1" sizeWithCells="1">
              <from>
                <xdr:col>3</xdr:col>
                <xdr:colOff>276225</xdr:colOff>
                <xdr:row>298</xdr:row>
                <xdr:rowOff>28575</xdr:rowOff>
              </from>
              <to>
                <xdr:col>4</xdr:col>
                <xdr:colOff>742950</xdr:colOff>
                <xdr:row>301</xdr:row>
                <xdr:rowOff>28575</xdr:rowOff>
              </to>
            </anchor>
          </objectPr>
        </oleObject>
      </mc:Choice>
      <mc:Fallback>
        <oleObject progId="Equation.3" shapeId="5169" r:id="rId49"/>
      </mc:Fallback>
    </mc:AlternateContent>
    <mc:AlternateContent xmlns:mc="http://schemas.openxmlformats.org/markup-compatibility/2006">
      <mc:Choice Requires="x14">
        <oleObject progId="Equation.3" shapeId="5170" r:id="rId51">
          <objectPr defaultSize="0" autoPict="0" r:id="rId52">
            <anchor moveWithCells="1" sizeWithCells="1">
              <from>
                <xdr:col>3</xdr:col>
                <xdr:colOff>323850</xdr:colOff>
                <xdr:row>306</xdr:row>
                <xdr:rowOff>0</xdr:rowOff>
              </from>
              <to>
                <xdr:col>4</xdr:col>
                <xdr:colOff>733425</xdr:colOff>
                <xdr:row>308</xdr:row>
                <xdr:rowOff>180975</xdr:rowOff>
              </to>
            </anchor>
          </objectPr>
        </oleObject>
      </mc:Choice>
      <mc:Fallback>
        <oleObject progId="Equation.3" shapeId="5170" r:id="rId51"/>
      </mc:Fallback>
    </mc:AlternateContent>
    <mc:AlternateContent xmlns:mc="http://schemas.openxmlformats.org/markup-compatibility/2006">
      <mc:Choice Requires="x14">
        <oleObject progId="Equation.3" shapeId="5171" r:id="rId53">
          <objectPr defaultSize="0" autoPict="0" r:id="rId54">
            <anchor moveWithCells="1" sizeWithCells="1">
              <from>
                <xdr:col>3</xdr:col>
                <xdr:colOff>561975</xdr:colOff>
                <xdr:row>311</xdr:row>
                <xdr:rowOff>9525</xdr:rowOff>
              </from>
              <to>
                <xdr:col>6</xdr:col>
                <xdr:colOff>19050</xdr:colOff>
                <xdr:row>313</xdr:row>
                <xdr:rowOff>190500</xdr:rowOff>
              </to>
            </anchor>
          </objectPr>
        </oleObject>
      </mc:Choice>
      <mc:Fallback>
        <oleObject progId="Equation.3" shapeId="5171" r:id="rId53"/>
      </mc:Fallback>
    </mc:AlternateContent>
    <mc:AlternateContent xmlns:mc="http://schemas.openxmlformats.org/markup-compatibility/2006">
      <mc:Choice Requires="x14">
        <oleObject progId="Equation.3" shapeId="5172" r:id="rId55">
          <objectPr defaultSize="0" autoPict="0" r:id="rId56">
            <anchor moveWithCells="1" sizeWithCells="1">
              <from>
                <xdr:col>3</xdr:col>
                <xdr:colOff>266700</xdr:colOff>
                <xdr:row>318</xdr:row>
                <xdr:rowOff>19050</xdr:rowOff>
              </from>
              <to>
                <xdr:col>4</xdr:col>
                <xdr:colOff>762000</xdr:colOff>
                <xdr:row>321</xdr:row>
                <xdr:rowOff>19050</xdr:rowOff>
              </to>
            </anchor>
          </objectPr>
        </oleObject>
      </mc:Choice>
      <mc:Fallback>
        <oleObject progId="Equation.3" shapeId="5172" r:id="rId55"/>
      </mc:Fallback>
    </mc:AlternateContent>
    <mc:AlternateContent xmlns:mc="http://schemas.openxmlformats.org/markup-compatibility/2006">
      <mc:Choice Requires="x14">
        <oleObject progId="Equation.3" shapeId="5173" r:id="rId57">
          <objectPr defaultSize="0" autoPict="0" r:id="rId52">
            <anchor moveWithCells="1" sizeWithCells="1">
              <from>
                <xdr:col>3</xdr:col>
                <xdr:colOff>323850</xdr:colOff>
                <xdr:row>326</xdr:row>
                <xdr:rowOff>0</xdr:rowOff>
              </from>
              <to>
                <xdr:col>4</xdr:col>
                <xdr:colOff>733425</xdr:colOff>
                <xdr:row>328</xdr:row>
                <xdr:rowOff>180975</xdr:rowOff>
              </to>
            </anchor>
          </objectPr>
        </oleObject>
      </mc:Choice>
      <mc:Fallback>
        <oleObject progId="Equation.3" shapeId="5173" r:id="rId57"/>
      </mc:Fallback>
    </mc:AlternateContent>
    <mc:AlternateContent xmlns:mc="http://schemas.openxmlformats.org/markup-compatibility/2006">
      <mc:Choice Requires="x14">
        <oleObject progId="Equation.3" shapeId="5174" r:id="rId58">
          <objectPr defaultSize="0" autoPict="0" r:id="rId59">
            <anchor moveWithCells="1" sizeWithCells="1">
              <from>
                <xdr:col>3</xdr:col>
                <xdr:colOff>561975</xdr:colOff>
                <xdr:row>331</xdr:row>
                <xdr:rowOff>9525</xdr:rowOff>
              </from>
              <to>
                <xdr:col>5</xdr:col>
                <xdr:colOff>866775</xdr:colOff>
                <xdr:row>333</xdr:row>
                <xdr:rowOff>190500</xdr:rowOff>
              </to>
            </anchor>
          </objectPr>
        </oleObject>
      </mc:Choice>
      <mc:Fallback>
        <oleObject progId="Equation.3" shapeId="5174" r:id="rId58"/>
      </mc:Fallback>
    </mc:AlternateContent>
    <mc:AlternateContent xmlns:mc="http://schemas.openxmlformats.org/markup-compatibility/2006">
      <mc:Choice Requires="x14">
        <oleObject progId="Equation.3" shapeId="5176" r:id="rId60">
          <objectPr defaultSize="0" autoPict="0" r:id="rId61">
            <anchor moveWithCells="1" sizeWithCells="1">
              <from>
                <xdr:col>12</xdr:col>
                <xdr:colOff>276225</xdr:colOff>
                <xdr:row>126</xdr:row>
                <xdr:rowOff>142875</xdr:rowOff>
              </from>
              <to>
                <xdr:col>14</xdr:col>
                <xdr:colOff>171450</xdr:colOff>
                <xdr:row>128</xdr:row>
                <xdr:rowOff>57150</xdr:rowOff>
              </to>
            </anchor>
          </objectPr>
        </oleObject>
      </mc:Choice>
      <mc:Fallback>
        <oleObject progId="Equation.3" shapeId="5176" r:id="rId6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49"/>
  <sheetViews>
    <sheetView zoomScaleNormal="100" workbookViewId="0">
      <pane ySplit="1" topLeftCell="A134" activePane="bottomLeft" state="frozen"/>
      <selection pane="bottomLeft" activeCell="F125" sqref="F125"/>
    </sheetView>
  </sheetViews>
  <sheetFormatPr defaultRowHeight="15.75" x14ac:dyDescent="0.25"/>
  <cols>
    <col min="1" max="2" width="3.140625" style="126" customWidth="1"/>
    <col min="3" max="3" width="3" style="126" customWidth="1"/>
    <col min="4" max="5" width="9.140625" style="3"/>
    <col min="6" max="6" width="14.85546875" style="3" bestFit="1" customWidth="1"/>
    <col min="7" max="7" width="10.85546875" style="3" bestFit="1" customWidth="1"/>
    <col min="8" max="9" width="10.28515625" style="3" bestFit="1" customWidth="1"/>
    <col min="10" max="11" width="10.85546875" style="3" bestFit="1" customWidth="1"/>
    <col min="12" max="12" width="9.5703125" style="3" bestFit="1" customWidth="1"/>
    <col min="13" max="13" width="10.85546875" style="3" customWidth="1"/>
    <col min="14" max="14" width="9.140625" style="3"/>
    <col min="15" max="15" width="9.5703125" style="3" bestFit="1" customWidth="1"/>
    <col min="16" max="16" width="9.140625" style="3"/>
    <col min="17" max="17" width="11.5703125" style="3" bestFit="1" customWidth="1"/>
    <col min="18" max="16384" width="9.140625" style="3"/>
  </cols>
  <sheetData>
    <row r="1" spans="1:18" x14ac:dyDescent="0.25">
      <c r="A1" s="126" t="s">
        <v>485</v>
      </c>
      <c r="B1" s="126" t="s">
        <v>486</v>
      </c>
    </row>
    <row r="2" spans="1:18" x14ac:dyDescent="0.25">
      <c r="B2" s="126" t="s">
        <v>18</v>
      </c>
      <c r="C2" s="126" t="s">
        <v>89</v>
      </c>
    </row>
    <row r="3" spans="1:18" x14ac:dyDescent="0.25">
      <c r="D3" s="3" t="s">
        <v>487</v>
      </c>
      <c r="G3" s="2">
        <f>'Nhập dữ liệu'!E17</f>
        <v>4</v>
      </c>
      <c r="H3" s="3" t="s">
        <v>488</v>
      </c>
      <c r="L3" s="3">
        <f>Bản!N16</f>
        <v>700</v>
      </c>
      <c r="M3" s="3" t="s">
        <v>489</v>
      </c>
      <c r="N3" s="3">
        <f>Bản!Q16</f>
        <v>300</v>
      </c>
      <c r="O3" s="3" t="s">
        <v>80</v>
      </c>
    </row>
    <row r="4" spans="1:18" ht="16.5" thickBot="1" x14ac:dyDescent="0.3">
      <c r="D4" s="3" t="s">
        <v>490</v>
      </c>
      <c r="G4" s="2">
        <f>'Nhập dữ liệu'!D13</f>
        <v>300</v>
      </c>
      <c r="H4" s="2">
        <f>'Nhập dữ liệu'!E13</f>
        <v>300</v>
      </c>
      <c r="I4" s="3" t="s">
        <v>80</v>
      </c>
      <c r="J4" s="3" t="s">
        <v>491</v>
      </c>
      <c r="P4" s="3">
        <f>'Nhập dữ liệu'!C13</f>
        <v>5.4</v>
      </c>
      <c r="Q4" s="3" t="s">
        <v>50</v>
      </c>
    </row>
    <row r="5" spans="1:18" x14ac:dyDescent="0.25">
      <c r="D5" s="326"/>
      <c r="E5" s="327"/>
      <c r="F5" s="327"/>
      <c r="G5" s="328"/>
      <c r="H5" s="328"/>
      <c r="I5" s="327"/>
      <c r="J5" s="327"/>
      <c r="K5" s="327"/>
      <c r="L5" s="327"/>
      <c r="M5" s="327"/>
      <c r="N5" s="327"/>
      <c r="O5" s="327"/>
      <c r="P5" s="327"/>
      <c r="Q5" s="329"/>
    </row>
    <row r="6" spans="1:18" x14ac:dyDescent="0.25">
      <c r="D6" s="330"/>
      <c r="E6" s="331"/>
      <c r="F6" s="331"/>
      <c r="G6" s="332"/>
      <c r="H6" s="332"/>
      <c r="I6" s="331"/>
      <c r="J6" s="331"/>
      <c r="K6" s="331"/>
      <c r="L6" s="331"/>
      <c r="M6" s="331"/>
      <c r="N6" s="331"/>
      <c r="O6" s="331"/>
      <c r="P6" s="331"/>
      <c r="Q6" s="333"/>
    </row>
    <row r="7" spans="1:18" x14ac:dyDescent="0.25">
      <c r="D7" s="330"/>
      <c r="E7" s="331"/>
      <c r="F7" s="331"/>
      <c r="G7" s="332"/>
      <c r="H7" s="332"/>
      <c r="I7" s="331"/>
      <c r="J7" s="331"/>
      <c r="K7" s="331"/>
      <c r="L7" s="331"/>
      <c r="M7" s="331"/>
      <c r="N7" s="331"/>
      <c r="O7" s="331"/>
      <c r="P7" s="331"/>
      <c r="Q7" s="333"/>
    </row>
    <row r="8" spans="1:18" ht="20.25" x14ac:dyDescent="0.25">
      <c r="D8" s="330"/>
      <c r="E8" s="331"/>
      <c r="F8" s="331"/>
      <c r="G8" s="332"/>
      <c r="H8" s="338" t="s">
        <v>515</v>
      </c>
      <c r="I8" s="331"/>
      <c r="J8" s="331"/>
      <c r="K8" s="331"/>
      <c r="L8" s="331"/>
      <c r="M8" s="331"/>
      <c r="N8" s="331"/>
      <c r="O8" s="331"/>
      <c r="P8" s="331"/>
      <c r="Q8" s="333"/>
    </row>
    <row r="9" spans="1:18" x14ac:dyDescent="0.25">
      <c r="D9" s="330"/>
      <c r="E9" s="331"/>
      <c r="F9" s="331"/>
      <c r="G9" s="332"/>
      <c r="H9" s="332"/>
      <c r="I9" s="331"/>
      <c r="J9" s="331"/>
      <c r="K9" s="331"/>
      <c r="L9" s="331"/>
      <c r="M9" s="331"/>
      <c r="N9" s="331"/>
      <c r="O9" s="331"/>
      <c r="P9" s="331"/>
      <c r="Q9" s="333"/>
    </row>
    <row r="10" spans="1:18" x14ac:dyDescent="0.25">
      <c r="D10" s="330"/>
      <c r="E10" s="331"/>
      <c r="F10" s="331"/>
      <c r="G10" s="332"/>
      <c r="H10" s="332"/>
      <c r="I10" s="331"/>
      <c r="J10" s="331"/>
      <c r="K10" s="331"/>
      <c r="L10" s="331"/>
      <c r="M10" s="331"/>
      <c r="N10" s="331"/>
      <c r="O10" s="331"/>
      <c r="P10" s="331"/>
      <c r="Q10" s="333"/>
    </row>
    <row r="11" spans="1:18" x14ac:dyDescent="0.25">
      <c r="D11" s="330"/>
      <c r="E11" s="331"/>
      <c r="F11" s="331"/>
      <c r="G11" s="332" t="s">
        <v>523</v>
      </c>
      <c r="H11" s="332"/>
      <c r="I11" s="331"/>
      <c r="J11" s="331"/>
      <c r="K11" s="331"/>
      <c r="L11" s="331"/>
      <c r="M11" s="331"/>
      <c r="N11" s="331"/>
      <c r="O11" s="331"/>
      <c r="P11" s="331"/>
      <c r="Q11" s="333"/>
    </row>
    <row r="12" spans="1:18" ht="16.5" thickBot="1" x14ac:dyDescent="0.3">
      <c r="D12" s="334"/>
      <c r="E12" s="335"/>
      <c r="F12" s="335"/>
      <c r="G12" s="336"/>
      <c r="H12" s="336"/>
      <c r="I12" s="335"/>
      <c r="J12" s="335"/>
      <c r="K12" s="335"/>
      <c r="L12" s="335"/>
      <c r="M12" s="335"/>
      <c r="N12" s="335"/>
      <c r="O12" s="335"/>
      <c r="P12" s="335"/>
      <c r="Q12" s="337"/>
    </row>
    <row r="13" spans="1:18" x14ac:dyDescent="0.25">
      <c r="B13" s="126" t="s">
        <v>21</v>
      </c>
      <c r="C13" s="126" t="s">
        <v>104</v>
      </c>
    </row>
    <row r="14" spans="1:18" x14ac:dyDescent="0.25">
      <c r="D14" s="3" t="s">
        <v>492</v>
      </c>
    </row>
    <row r="15" spans="1:18" ht="19.5" x14ac:dyDescent="0.25">
      <c r="D15" s="232" t="s">
        <v>493</v>
      </c>
      <c r="H15" s="2">
        <f>Bản!Q16/1000</f>
        <v>0.3</v>
      </c>
      <c r="I15" s="3" t="s">
        <v>160</v>
      </c>
      <c r="J15" s="3">
        <f>Bản!N16/1000</f>
        <v>0.7</v>
      </c>
      <c r="K15" s="127" t="s">
        <v>99</v>
      </c>
      <c r="L15" s="3">
        <f>Bản!M5/1000</f>
        <v>0.08</v>
      </c>
      <c r="M15" s="3" t="s">
        <v>494</v>
      </c>
      <c r="N15" s="3">
        <f>'Nhập dữ liệu'!G25</f>
        <v>1.1000000000000001</v>
      </c>
      <c r="O15" s="3">
        <f>'Nhập dữ liệu'!B13</f>
        <v>2.6</v>
      </c>
      <c r="P15" s="127" t="s">
        <v>76</v>
      </c>
      <c r="Q15" s="135">
        <f>H15*(J15-L15)*25*N15*O15</f>
        <v>13.299000000000003</v>
      </c>
      <c r="R15" s="3" t="s">
        <v>140</v>
      </c>
    </row>
    <row r="16" spans="1:18" x14ac:dyDescent="0.25">
      <c r="D16" s="3" t="s">
        <v>495</v>
      </c>
      <c r="F16" s="4"/>
    </row>
    <row r="17" spans="2:16" ht="19.5" x14ac:dyDescent="0.25">
      <c r="D17" s="232" t="s">
        <v>496</v>
      </c>
      <c r="F17" s="3">
        <f>'Dầm phụ'!M32</f>
        <v>10.908600000000002</v>
      </c>
      <c r="G17" s="3">
        <f>'Nhập dữ liệu'!C13</f>
        <v>5.4</v>
      </c>
      <c r="H17" s="127" t="s">
        <v>76</v>
      </c>
      <c r="I17" s="3">
        <f>F17*G17</f>
        <v>58.906440000000011</v>
      </c>
      <c r="J17" s="3" t="s">
        <v>384</v>
      </c>
    </row>
    <row r="18" spans="2:16" x14ac:dyDescent="0.25">
      <c r="D18" s="3" t="s">
        <v>497</v>
      </c>
    </row>
    <row r="19" spans="2:16" ht="19.5" x14ac:dyDescent="0.25">
      <c r="D19" s="232" t="s">
        <v>498</v>
      </c>
      <c r="F19" s="135">
        <f>Q15</f>
        <v>13.299000000000003</v>
      </c>
      <c r="G19" s="127" t="s">
        <v>123</v>
      </c>
      <c r="H19" s="3">
        <f>I17</f>
        <v>58.906440000000011</v>
      </c>
      <c r="I19" s="127" t="s">
        <v>76</v>
      </c>
      <c r="J19" s="135">
        <f>F19+H19</f>
        <v>72.20544000000001</v>
      </c>
      <c r="K19" s="3" t="s">
        <v>384</v>
      </c>
    </row>
    <row r="20" spans="2:16" x14ac:dyDescent="0.25">
      <c r="D20" s="3" t="s">
        <v>499</v>
      </c>
    </row>
    <row r="21" spans="2:16" ht="19.5" x14ac:dyDescent="0.25">
      <c r="D21" s="232" t="s">
        <v>500</v>
      </c>
      <c r="F21" s="3">
        <f>'Dầm phụ'!M34</f>
        <v>17.16</v>
      </c>
      <c r="G21" s="3">
        <f>'Nhập dữ liệu'!C13</f>
        <v>5.4</v>
      </c>
      <c r="H21" s="127" t="s">
        <v>76</v>
      </c>
      <c r="I21" s="3">
        <f>F21*G21</f>
        <v>92.664000000000001</v>
      </c>
      <c r="J21" s="3" t="s">
        <v>140</v>
      </c>
    </row>
    <row r="22" spans="2:16" x14ac:dyDescent="0.25">
      <c r="B22" s="126" t="s">
        <v>103</v>
      </c>
      <c r="C22" s="126" t="s">
        <v>133</v>
      </c>
    </row>
    <row r="23" spans="2:16" x14ac:dyDescent="0.25">
      <c r="C23" s="126" t="s">
        <v>501</v>
      </c>
    </row>
    <row r="24" spans="2:16" x14ac:dyDescent="0.25">
      <c r="D24" s="3" t="s">
        <v>525</v>
      </c>
    </row>
    <row r="25" spans="2:16" x14ac:dyDescent="0.25">
      <c r="D25" s="3" t="s">
        <v>502</v>
      </c>
    </row>
    <row r="26" spans="2:16" x14ac:dyDescent="0.25">
      <c r="E26" s="3" t="s">
        <v>503</v>
      </c>
    </row>
    <row r="27" spans="2:16" ht="19.5" x14ac:dyDescent="0.25">
      <c r="F27" s="233" t="s">
        <v>506</v>
      </c>
      <c r="G27" s="135">
        <f>J19</f>
        <v>72.20544000000001</v>
      </c>
      <c r="H27" s="2" t="s">
        <v>504</v>
      </c>
      <c r="I27" s="3">
        <f>'Nhập dữ liệu'!B13</f>
        <v>2.6</v>
      </c>
      <c r="J27" s="127" t="s">
        <v>505</v>
      </c>
      <c r="K27" s="135">
        <f>G27*3*I27</f>
        <v>563.20243200000004</v>
      </c>
      <c r="L27" s="3" t="s">
        <v>442</v>
      </c>
    </row>
    <row r="28" spans="2:16" x14ac:dyDescent="0.25">
      <c r="D28" s="3" t="s">
        <v>507</v>
      </c>
    </row>
    <row r="29" spans="2:16" x14ac:dyDescent="0.25">
      <c r="D29" s="131" t="s">
        <v>550</v>
      </c>
      <c r="E29" s="2">
        <f>IF(G3=2,2,IF(G3=3,5,IF(G3=4,6,"")))</f>
        <v>6</v>
      </c>
      <c r="F29" s="3" t="s">
        <v>549</v>
      </c>
    </row>
    <row r="30" spans="2:16" x14ac:dyDescent="0.25">
      <c r="D30" s="3" t="s">
        <v>508</v>
      </c>
    </row>
    <row r="31" spans="2:16" ht="20.25" thickBot="1" x14ac:dyDescent="0.3">
      <c r="D31" s="232" t="s">
        <v>509</v>
      </c>
      <c r="F31" s="247" t="s">
        <v>510</v>
      </c>
      <c r="G31" s="3">
        <f>I21</f>
        <v>92.664000000000001</v>
      </c>
      <c r="H31" s="2" t="s">
        <v>511</v>
      </c>
      <c r="I31" s="3">
        <f>'Nhập dữ liệu'!B13</f>
        <v>2.6</v>
      </c>
      <c r="J31" s="127" t="s">
        <v>512</v>
      </c>
      <c r="K31" s="3">
        <f>G31*3*I31</f>
        <v>722.77920000000006</v>
      </c>
      <c r="L31" s="3" t="s">
        <v>442</v>
      </c>
    </row>
    <row r="32" spans="2:16" x14ac:dyDescent="0.25">
      <c r="D32" s="326"/>
      <c r="E32" s="327"/>
      <c r="F32" s="339"/>
      <c r="G32" s="327"/>
      <c r="H32" s="328"/>
      <c r="I32" s="327"/>
      <c r="J32" s="340"/>
      <c r="K32" s="327"/>
      <c r="L32" s="327"/>
      <c r="M32" s="327"/>
      <c r="N32" s="327"/>
      <c r="O32" s="327"/>
      <c r="P32" s="329"/>
    </row>
    <row r="33" spans="4:16" x14ac:dyDescent="0.25">
      <c r="D33" s="330"/>
      <c r="E33" s="331"/>
      <c r="F33" s="341"/>
      <c r="G33" s="331"/>
      <c r="H33" s="332"/>
      <c r="I33" s="331"/>
      <c r="J33" s="342"/>
      <c r="K33" s="331"/>
      <c r="L33" s="331"/>
      <c r="M33" s="331"/>
      <c r="N33" s="331"/>
      <c r="O33" s="331"/>
      <c r="P33" s="333"/>
    </row>
    <row r="34" spans="4:16" x14ac:dyDescent="0.25">
      <c r="D34" s="330"/>
      <c r="E34" s="331"/>
      <c r="F34" s="341"/>
      <c r="G34" s="331"/>
      <c r="H34" s="332"/>
      <c r="I34" s="331"/>
      <c r="J34" s="342"/>
      <c r="K34" s="331"/>
      <c r="L34" s="331"/>
      <c r="M34" s="331"/>
      <c r="N34" s="331"/>
      <c r="O34" s="331"/>
      <c r="P34" s="333"/>
    </row>
    <row r="35" spans="4:16" x14ac:dyDescent="0.25">
      <c r="D35" s="330"/>
      <c r="E35" s="331"/>
      <c r="F35" s="341"/>
      <c r="G35" s="331"/>
      <c r="H35" s="332"/>
      <c r="I35" s="331"/>
      <c r="J35" s="342"/>
      <c r="K35" s="331"/>
      <c r="L35" s="331"/>
      <c r="M35" s="331"/>
      <c r="N35" s="331"/>
      <c r="O35" s="331"/>
      <c r="P35" s="333"/>
    </row>
    <row r="36" spans="4:16" x14ac:dyDescent="0.25">
      <c r="D36" s="330"/>
      <c r="E36" s="331"/>
      <c r="F36" s="341"/>
      <c r="G36" s="331"/>
      <c r="H36" s="332"/>
      <c r="I36" s="331"/>
      <c r="J36" s="342"/>
      <c r="K36" s="331"/>
      <c r="L36" s="331"/>
      <c r="M36" s="331"/>
      <c r="N36" s="331"/>
      <c r="O36" s="331"/>
      <c r="P36" s="333"/>
    </row>
    <row r="37" spans="4:16" x14ac:dyDescent="0.25">
      <c r="D37" s="330"/>
      <c r="E37" s="331"/>
      <c r="F37" s="343"/>
      <c r="G37" s="344" t="s">
        <v>516</v>
      </c>
      <c r="H37" s="332"/>
      <c r="I37" s="331"/>
      <c r="J37" s="342"/>
      <c r="K37" s="331"/>
      <c r="L37" s="331"/>
      <c r="M37" s="331"/>
      <c r="N37" s="331"/>
      <c r="O37" s="331"/>
      <c r="P37" s="333"/>
    </row>
    <row r="38" spans="4:16" x14ac:dyDescent="0.25">
      <c r="D38" s="330"/>
      <c r="E38" s="331"/>
      <c r="F38" s="341"/>
      <c r="G38" s="331"/>
      <c r="H38" s="332"/>
      <c r="I38" s="331"/>
      <c r="J38" s="342"/>
      <c r="K38" s="331"/>
      <c r="L38" s="331"/>
      <c r="M38" s="331"/>
      <c r="N38" s="331"/>
      <c r="O38" s="331"/>
      <c r="P38" s="333"/>
    </row>
    <row r="39" spans="4:16" x14ac:dyDescent="0.25">
      <c r="D39" s="330"/>
      <c r="E39" s="331"/>
      <c r="F39" s="341"/>
      <c r="G39" s="331"/>
      <c r="H39" s="332"/>
      <c r="I39" s="331"/>
      <c r="J39" s="342"/>
      <c r="K39" s="331"/>
      <c r="L39" s="331"/>
      <c r="M39" s="331"/>
      <c r="N39" s="331"/>
      <c r="O39" s="331"/>
      <c r="P39" s="333"/>
    </row>
    <row r="40" spans="4:16" x14ac:dyDescent="0.25">
      <c r="D40" s="330"/>
      <c r="E40" s="331"/>
      <c r="F40" s="341"/>
      <c r="G40" s="331"/>
      <c r="H40" s="332"/>
      <c r="I40" s="331"/>
      <c r="J40" s="342"/>
      <c r="K40" s="331"/>
      <c r="L40" s="331"/>
      <c r="M40" s="331"/>
      <c r="N40" s="331"/>
      <c r="O40" s="331"/>
      <c r="P40" s="333"/>
    </row>
    <row r="41" spans="4:16" x14ac:dyDescent="0.25">
      <c r="D41" s="330"/>
      <c r="E41" s="331"/>
      <c r="F41" s="341"/>
      <c r="G41" s="331"/>
      <c r="H41" s="332"/>
      <c r="I41" s="331"/>
      <c r="J41" s="342"/>
      <c r="K41" s="331"/>
      <c r="L41" s="331"/>
      <c r="M41" s="331"/>
      <c r="N41" s="331"/>
      <c r="O41" s="331"/>
      <c r="P41" s="333"/>
    </row>
    <row r="42" spans="4:16" x14ac:dyDescent="0.25">
      <c r="D42" s="330"/>
      <c r="E42" s="331"/>
      <c r="F42" s="341"/>
      <c r="G42" s="331"/>
      <c r="H42" s="332"/>
      <c r="I42" s="331"/>
      <c r="J42" s="342"/>
      <c r="K42" s="331"/>
      <c r="L42" s="331"/>
      <c r="M42" s="331"/>
      <c r="N42" s="331"/>
      <c r="O42" s="331"/>
      <c r="P42" s="333"/>
    </row>
    <row r="43" spans="4:16" x14ac:dyDescent="0.25">
      <c r="D43" s="330"/>
      <c r="E43" s="331"/>
      <c r="F43" s="341"/>
      <c r="G43" s="331" t="s">
        <v>524</v>
      </c>
      <c r="H43" s="332"/>
      <c r="I43" s="331"/>
      <c r="J43" s="342"/>
      <c r="K43" s="331"/>
      <c r="L43" s="331"/>
      <c r="M43" s="331"/>
      <c r="N43" s="331"/>
      <c r="O43" s="331"/>
      <c r="P43" s="333"/>
    </row>
    <row r="44" spans="4:16" ht="16.5" thickBot="1" x14ac:dyDescent="0.3">
      <c r="D44" s="334"/>
      <c r="E44" s="335"/>
      <c r="F44" s="345"/>
      <c r="G44" s="335"/>
      <c r="H44" s="336"/>
      <c r="I44" s="335"/>
      <c r="J44" s="346"/>
      <c r="K44" s="335"/>
      <c r="L44" s="335"/>
      <c r="M44" s="335"/>
      <c r="N44" s="335"/>
      <c r="O44" s="335"/>
      <c r="P44" s="337"/>
    </row>
    <row r="45" spans="4:16" x14ac:dyDescent="0.25">
      <c r="D45" s="3" t="str">
        <f>IF(G3&gt;2,"Trong sơ đồ Mp3 còn thiếu a để tính mômen uốn tại các tiết diện 1,2,3,4.")</f>
        <v>Trong sơ đồ Mp3 còn thiếu a để tính mômen uốn tại các tiết diện 1,2,3,4.</v>
      </c>
    </row>
    <row r="46" spans="4:16" x14ac:dyDescent="0.25">
      <c r="D46" s="3" t="s">
        <v>513</v>
      </c>
    </row>
    <row r="47" spans="4:16" ht="19.5" x14ac:dyDescent="0.25">
      <c r="E47" s="233" t="s">
        <v>514</v>
      </c>
      <c r="F47" s="3">
        <f>I21</f>
        <v>92.664000000000001</v>
      </c>
      <c r="G47" s="3">
        <f>'Nhập dữ liệu'!B13</f>
        <v>2.6</v>
      </c>
      <c r="H47" s="127" t="s">
        <v>76</v>
      </c>
      <c r="I47" s="3">
        <f>F47*G47</f>
        <v>240.9264</v>
      </c>
      <c r="J47" s="3" t="s">
        <v>426</v>
      </c>
    </row>
    <row r="48" spans="4:16" x14ac:dyDescent="0.25">
      <c r="D48" s="3" t="s">
        <v>526</v>
      </c>
    </row>
    <row r="50" spans="4:16" x14ac:dyDescent="0.25">
      <c r="E50" s="7" t="str">
        <f>IF(G3&gt;2,"M1 =","")</f>
        <v>M1 =</v>
      </c>
      <c r="F50" s="263">
        <f>IF(G3&gt;2,I47,"")</f>
        <v>240.9264</v>
      </c>
      <c r="G50" s="263" t="str">
        <f>IF(G3&gt;2,"-","")</f>
        <v>-</v>
      </c>
      <c r="H50" s="7">
        <f>IF(G3=3,ABS(H73),IF(G3=4,ABS(H89),""))</f>
        <v>232.01212320000002</v>
      </c>
      <c r="I50" s="405" t="str">
        <f>IF(G3&gt;2,"x","")</f>
        <v>x</v>
      </c>
      <c r="J50" s="406">
        <f>IF(G3&gt;2,0.333333333333333,"")</f>
        <v>0.33333333333333298</v>
      </c>
      <c r="K50" s="263" t="str">
        <f>IF(G3&gt;2,"=","")</f>
        <v>=</v>
      </c>
      <c r="L50" s="268">
        <f>IF(G3&gt;2,F50-H50*J50,"")</f>
        <v>163.58902560000007</v>
      </c>
      <c r="M50" s="7" t="str">
        <f>IF(G3&gt;2,"kNm;","")</f>
        <v>kNm;</v>
      </c>
      <c r="N50" s="7"/>
    </row>
    <row r="51" spans="4:16" x14ac:dyDescent="0.25">
      <c r="E51" s="7" t="str">
        <f>IF(G3&gt;2,"M2 =","")</f>
        <v>M2 =</v>
      </c>
      <c r="F51" s="263">
        <f>IF(G3&gt;2,I47,"")</f>
        <v>240.9264</v>
      </c>
      <c r="G51" s="263" t="str">
        <f>IF(G3&gt;2,"-","")</f>
        <v>-</v>
      </c>
      <c r="H51" s="7">
        <f>IF(G3=3,ABS(H73),IF(G3=4,ABS(H89),""))</f>
        <v>232.01212320000002</v>
      </c>
      <c r="I51" s="405" t="str">
        <f>IF(G3&gt;2,"x","")</f>
        <v>x</v>
      </c>
      <c r="J51" s="406">
        <f>IF(G3&gt;2,0.666666666666667,"")</f>
        <v>0.66666666666666696</v>
      </c>
      <c r="K51" s="263" t="str">
        <f>IF(G3&gt;2,"=","")</f>
        <v>=</v>
      </c>
      <c r="L51" s="268">
        <f>IF(G3&gt;2,F51-H51*J51,"")</f>
        <v>86.251651199999912</v>
      </c>
      <c r="M51" s="7" t="str">
        <f>IF(G3&gt;2,"kNm;","")</f>
        <v>kNm;</v>
      </c>
      <c r="N51" s="7"/>
    </row>
    <row r="52" spans="4:16" x14ac:dyDescent="0.25">
      <c r="E52" s="7" t="str">
        <f>IF(G3&gt;2,"M3 =","")</f>
        <v>M3 =</v>
      </c>
      <c r="F52" s="263">
        <f>IF(G3&gt;2,I47,"")</f>
        <v>240.9264</v>
      </c>
      <c r="G52" s="263" t="str">
        <f>IF(G3&gt;2,"-","")</f>
        <v>-</v>
      </c>
      <c r="H52" s="263" t="str">
        <f>IF(G3&gt;2,"(2/3).(","")</f>
        <v>(2/3).(</v>
      </c>
      <c r="I52" s="7">
        <f>IF(G3=3,ABS(H73),IF(G3=4,ABS(H89),""))</f>
        <v>232.01212320000002</v>
      </c>
      <c r="J52" s="263" t="str">
        <f>IF(G3&gt;2,"-","")</f>
        <v>-</v>
      </c>
      <c r="K52" s="263">
        <f>IF(G3=3,ABS(K73),IF(G3=4,ABS(K89),""))</f>
        <v>34.693401600000001</v>
      </c>
      <c r="L52" s="263" t="str">
        <f>IF(G3&gt;2,")      -","")</f>
        <v>)      -</v>
      </c>
      <c r="M52" s="7">
        <f>IF(G3&gt;2,K52,"")</f>
        <v>34.693401600000001</v>
      </c>
      <c r="N52" s="7" t="str">
        <f>IF(G3&gt;2,"=","")</f>
        <v>=</v>
      </c>
      <c r="O52" s="246">
        <f>IF(G3&gt;2,F52-(2/3)*(I52-K52)-M52,"")</f>
        <v>74.687184000000016</v>
      </c>
      <c r="P52" s="3" t="str">
        <f>IF(G3&gt;2,"kNm;","")</f>
        <v>kNm;</v>
      </c>
    </row>
    <row r="53" spans="4:16" x14ac:dyDescent="0.25">
      <c r="E53" s="7" t="str">
        <f>IF(G3&gt;2,"M4 =","")</f>
        <v>M4 =</v>
      </c>
      <c r="F53" s="263">
        <f>IF(G3&gt;2,I47,"")</f>
        <v>240.9264</v>
      </c>
      <c r="G53" s="263" t="str">
        <f>IF(G3&gt;2,"-","")</f>
        <v>-</v>
      </c>
      <c r="H53" s="263" t="str">
        <f>IF(G3&gt;2,"(1/3).(","")</f>
        <v>(1/3).(</v>
      </c>
      <c r="I53" s="7">
        <f>IF(G3=3,ABS(H73),IF(G3=4,ABS(H89),""))</f>
        <v>232.01212320000002</v>
      </c>
      <c r="J53" s="263" t="str">
        <f>IF(G3&gt;2,"-","")</f>
        <v>-</v>
      </c>
      <c r="K53" s="263">
        <f>IF(G3=3,ABS(K73),IF(G3=4,ABS(K89),""))</f>
        <v>34.693401600000001</v>
      </c>
      <c r="L53" s="263" t="str">
        <f>IF(G3&gt;2,")      -","")</f>
        <v>)      -</v>
      </c>
      <c r="M53" s="7">
        <f>IF(G3&gt;2,K52,"")</f>
        <v>34.693401600000001</v>
      </c>
      <c r="N53" s="7" t="str">
        <f>IF(G3&gt;2,"=","")</f>
        <v>=</v>
      </c>
      <c r="O53" s="246">
        <f>IF(G3&gt;2,F52-(1/3)*(I52-K52)-M52,"")</f>
        <v>140.46009120000002</v>
      </c>
      <c r="P53" s="3" t="str">
        <f>IF(G3&gt;2,"kNm;","")</f>
        <v>kNm;</v>
      </c>
    </row>
    <row r="54" spans="4:16" x14ac:dyDescent="0.25">
      <c r="E54" s="126" t="str">
        <f>IF(G3&lt;&gt;2,"","Bảng 4.1. Tính toán và tổ hợp mômen")</f>
        <v/>
      </c>
      <c r="J54" s="222" t="str">
        <f>IF(G3&lt;&gt;2,"","(dầm 2 nhịp)")</f>
        <v/>
      </c>
    </row>
    <row r="55" spans="4:16" x14ac:dyDescent="0.25">
      <c r="D55" s="249" t="s">
        <v>537</v>
      </c>
      <c r="E55" s="144" t="s">
        <v>534</v>
      </c>
      <c r="F55" s="257" t="str">
        <f>IF(G3=2,"1","")</f>
        <v/>
      </c>
      <c r="G55" s="257" t="str">
        <f>IF(G3=2,"2","")</f>
        <v/>
      </c>
      <c r="H55" s="257" t="str">
        <f>IF(G3=2,"B","")</f>
        <v/>
      </c>
      <c r="I55" s="257" t="str">
        <f>IF(G3=2,"3","")</f>
        <v/>
      </c>
      <c r="J55" s="257" t="str">
        <f>IF(G3=2,"4","")</f>
        <v/>
      </c>
      <c r="K55" s="257" t="str">
        <f>IF(G3=2,"C","")</f>
        <v/>
      </c>
    </row>
    <row r="56" spans="4:16" x14ac:dyDescent="0.25">
      <c r="D56" s="352" t="s">
        <v>536</v>
      </c>
      <c r="E56" s="146" t="s">
        <v>535</v>
      </c>
      <c r="F56" s="354"/>
      <c r="G56" s="354"/>
      <c r="H56" s="354"/>
      <c r="I56" s="354"/>
      <c r="J56" s="354"/>
      <c r="K56" s="354"/>
    </row>
    <row r="57" spans="4:16" x14ac:dyDescent="0.25">
      <c r="D57" s="257" t="s">
        <v>541</v>
      </c>
      <c r="E57" s="154" t="s">
        <v>448</v>
      </c>
      <c r="F57" s="152" t="str">
        <f>IF(G3=2,0.222,"")</f>
        <v/>
      </c>
      <c r="G57" s="152" t="str">
        <f>IF(G3=2,0.111,"")</f>
        <v/>
      </c>
      <c r="H57" s="152" t="str">
        <f>IF(G3=2,-0.333,"")</f>
        <v/>
      </c>
      <c r="I57" s="152" t="str">
        <f>IF(G3=2,0.111,"")</f>
        <v/>
      </c>
      <c r="J57" s="152" t="str">
        <f>IF(G3=2,0.222,"")</f>
        <v/>
      </c>
      <c r="K57" s="152" t="str">
        <f>IF(G3=2,0,"")</f>
        <v/>
      </c>
    </row>
    <row r="58" spans="4:16" x14ac:dyDescent="0.25">
      <c r="D58" s="354"/>
      <c r="E58" s="220" t="s">
        <v>538</v>
      </c>
      <c r="F58" s="152" t="str">
        <f>IF(G3=2,F57*K27,"")</f>
        <v/>
      </c>
      <c r="G58" s="152" t="str">
        <f>IF(G3=2,G57*K27,"")</f>
        <v/>
      </c>
      <c r="H58" s="152" t="str">
        <f>IF(G3=2,H57*K27,"")</f>
        <v/>
      </c>
      <c r="I58" s="152" t="str">
        <f>IF(G3=2,I57*K27,"")</f>
        <v/>
      </c>
      <c r="J58" s="152" t="str">
        <f>IF(G3=2,J57*K27,"")</f>
        <v/>
      </c>
      <c r="K58" s="152" t="str">
        <f>IF(G3=2,K57*K27,"")</f>
        <v/>
      </c>
    </row>
    <row r="59" spans="4:16" x14ac:dyDescent="0.25">
      <c r="D59" s="257" t="s">
        <v>542</v>
      </c>
      <c r="E59" s="154" t="s">
        <v>448</v>
      </c>
      <c r="F59" s="152" t="str">
        <f>IF(G3=2,0.278,"")</f>
        <v/>
      </c>
      <c r="G59" s="152" t="str">
        <f>IF(G3=2,0.222,"")</f>
        <v/>
      </c>
      <c r="H59" s="152" t="str">
        <f>IF(G3=2,-0.267,"")</f>
        <v/>
      </c>
      <c r="I59" s="152" t="str">
        <f>IF(G3=2,-0.111,"")</f>
        <v/>
      </c>
      <c r="J59" s="152" t="str">
        <f>IF(G3=2,-0.056,"")</f>
        <v/>
      </c>
      <c r="K59" s="152" t="str">
        <f>IF(G3=2,0,"")</f>
        <v/>
      </c>
    </row>
    <row r="60" spans="4:16" x14ac:dyDescent="0.25">
      <c r="D60" s="354"/>
      <c r="E60" s="220" t="s">
        <v>538</v>
      </c>
      <c r="F60" s="152" t="str">
        <f>IF(G3=2,F59*K31,"")</f>
        <v/>
      </c>
      <c r="G60" s="152" t="str">
        <f>IF(G3=2,G59*K31,"")</f>
        <v/>
      </c>
      <c r="H60" s="152" t="str">
        <f>IF(G3=2,H59*K31,"")</f>
        <v/>
      </c>
      <c r="I60" s="152" t="str">
        <f>IF(G3=2,I59*K31,"")</f>
        <v/>
      </c>
      <c r="J60" s="152" t="str">
        <f>IF(G3=2,J59*K31,"")</f>
        <v/>
      </c>
      <c r="K60" s="152" t="str">
        <f>IF(G3=2,K59*K31,"")</f>
        <v/>
      </c>
    </row>
    <row r="61" spans="4:16" x14ac:dyDescent="0.25">
      <c r="D61" s="147" t="s">
        <v>538</v>
      </c>
      <c r="E61" s="353" t="s">
        <v>539</v>
      </c>
      <c r="F61" s="152" t="str">
        <f>IF(G3=2,F58+F60,"")</f>
        <v/>
      </c>
      <c r="G61" s="152" t="str">
        <f>IF(G3=2,G58+G60,"")</f>
        <v/>
      </c>
      <c r="H61" s="152" t="str">
        <f>IF(G3=2,H58+H60,"")</f>
        <v/>
      </c>
      <c r="I61" s="152" t="str">
        <f>IF(G3=2,I58+I60,"")</f>
        <v/>
      </c>
      <c r="J61" s="152" t="str">
        <f>IF(G3=2,J58+J60,"")</f>
        <v/>
      </c>
      <c r="K61" s="152" t="str">
        <f>IF(G3=2,K58+K60,"")</f>
        <v/>
      </c>
    </row>
    <row r="62" spans="4:16" x14ac:dyDescent="0.25">
      <c r="D62" s="147" t="s">
        <v>538</v>
      </c>
      <c r="E62" s="353" t="s">
        <v>540</v>
      </c>
      <c r="F62" s="152" t="str">
        <f>IF(G3=2,F61,"")</f>
        <v/>
      </c>
      <c r="G62" s="152" t="str">
        <f>IF(G3=2,G61,"")</f>
        <v/>
      </c>
      <c r="H62" s="152" t="str">
        <f>IF(G3=2,H61,"")</f>
        <v/>
      </c>
      <c r="I62" s="152" t="str">
        <f>IF(G3=2,I61,"")</f>
        <v/>
      </c>
      <c r="J62" s="152" t="str">
        <f>IF(G3=2,J61,"")</f>
        <v/>
      </c>
      <c r="K62" s="152" t="str">
        <f>IF(G3=2,K61,"")</f>
        <v/>
      </c>
    </row>
    <row r="63" spans="4:16" x14ac:dyDescent="0.25">
      <c r="E63" s="126" t="str">
        <f>IF(G3&lt;&gt;3,"","Bảng 4.1. Tính toán và tổ hợp mômen")</f>
        <v/>
      </c>
      <c r="J63" s="222" t="str">
        <f>IF(G3&lt;&gt;3,"","(dầm 3 nhịp)")</f>
        <v/>
      </c>
    </row>
    <row r="64" spans="4:16" x14ac:dyDescent="0.25">
      <c r="D64" s="249" t="s">
        <v>537</v>
      </c>
      <c r="E64" s="144" t="s">
        <v>534</v>
      </c>
      <c r="F64" s="257" t="str">
        <f>IF(G3=3,"1","")</f>
        <v/>
      </c>
      <c r="G64" s="257" t="str">
        <f>IF(G3=3,"2","")</f>
        <v/>
      </c>
      <c r="H64" s="257" t="str">
        <f>IF(G3=3,"B","")</f>
        <v/>
      </c>
      <c r="I64" s="257" t="str">
        <f>IF(G3=3,"3","")</f>
        <v/>
      </c>
      <c r="J64" s="257" t="str">
        <f>IF(G3=3,"4","")</f>
        <v/>
      </c>
      <c r="K64" s="257" t="str">
        <f>IF(G3=3,"C","")</f>
        <v/>
      </c>
    </row>
    <row r="65" spans="4:11" x14ac:dyDescent="0.25">
      <c r="D65" s="352" t="s">
        <v>536</v>
      </c>
      <c r="E65" s="146" t="s">
        <v>535</v>
      </c>
      <c r="F65" s="354"/>
      <c r="G65" s="354"/>
      <c r="H65" s="354"/>
      <c r="I65" s="354"/>
      <c r="J65" s="354"/>
      <c r="K65" s="354"/>
    </row>
    <row r="66" spans="4:11" x14ac:dyDescent="0.25">
      <c r="D66" s="257" t="s">
        <v>541</v>
      </c>
      <c r="E66" s="154" t="s">
        <v>448</v>
      </c>
      <c r="F66" s="152" t="str">
        <f>IF(G3=3,0.244,"")</f>
        <v/>
      </c>
      <c r="G66" s="152" t="str">
        <f>IF(G3=3,0.156,"")</f>
        <v/>
      </c>
      <c r="H66" s="152" t="str">
        <f>IF(G3=3,-0.267,"")</f>
        <v/>
      </c>
      <c r="I66" s="152" t="str">
        <f>IF(G3=3,0.067,"")</f>
        <v/>
      </c>
      <c r="J66" s="152" t="str">
        <f>IF(G3=3,0.067,"")</f>
        <v/>
      </c>
      <c r="K66" s="152" t="str">
        <f>IF(G3=3,-0.267,"")</f>
        <v/>
      </c>
    </row>
    <row r="67" spans="4:11" x14ac:dyDescent="0.25">
      <c r="D67" s="354"/>
      <c r="E67" s="220" t="s">
        <v>538</v>
      </c>
      <c r="F67" s="152" t="str">
        <f>IF(G3=3,F66*K27,"")</f>
        <v/>
      </c>
      <c r="G67" s="152" t="str">
        <f>IF(G3=3,G66*K27,"")</f>
        <v/>
      </c>
      <c r="H67" s="152" t="str">
        <f>IF(G3=3,H66*K27,"")</f>
        <v/>
      </c>
      <c r="I67" s="152" t="str">
        <f>IF(G3=3,I66*K27,"")</f>
        <v/>
      </c>
      <c r="J67" s="152" t="str">
        <f>IF(G3=3,J66*K27,"")</f>
        <v/>
      </c>
      <c r="K67" s="152" t="str">
        <f>IF(G3=3,K66*K27,"")</f>
        <v/>
      </c>
    </row>
    <row r="68" spans="4:11" x14ac:dyDescent="0.25">
      <c r="D68" s="257" t="s">
        <v>542</v>
      </c>
      <c r="E68" s="154" t="s">
        <v>448</v>
      </c>
      <c r="F68" s="152" t="str">
        <f>IF(G3=3,0.289,"")</f>
        <v/>
      </c>
      <c r="G68" s="152" t="str">
        <f>IF(G3=3,0.244,"")</f>
        <v/>
      </c>
      <c r="H68" s="152" t="str">
        <f>IF(G3=3,-0.133,"")</f>
        <v/>
      </c>
      <c r="I68" s="152" t="str">
        <f>IF(G3=3,-0.133,"")</f>
        <v/>
      </c>
      <c r="J68" s="361" t="str">
        <f>IF(G3=3,"","")</f>
        <v/>
      </c>
      <c r="K68" s="361" t="str">
        <f>IF(G3=3,"","")</f>
        <v/>
      </c>
    </row>
    <row r="69" spans="4:11" x14ac:dyDescent="0.25">
      <c r="D69" s="354"/>
      <c r="E69" s="220" t="s">
        <v>538</v>
      </c>
      <c r="F69" s="152" t="str">
        <f>IF(G3=3,F68*K31,"")</f>
        <v/>
      </c>
      <c r="G69" s="152" t="str">
        <f>IF(G3=3,G68*K31,"")</f>
        <v/>
      </c>
      <c r="H69" s="152" t="str">
        <f>IF(G3=3,H68*K31,"")</f>
        <v/>
      </c>
      <c r="I69" s="152" t="str">
        <f>IF(G3=3,I68*K31,"")</f>
        <v/>
      </c>
      <c r="J69" s="361" t="str">
        <f>IF(G3=3,I69,"")</f>
        <v/>
      </c>
      <c r="K69" s="361" t="str">
        <f>IF(G3=3,H69,"")</f>
        <v/>
      </c>
    </row>
    <row r="70" spans="4:11" x14ac:dyDescent="0.25">
      <c r="D70" s="355" t="s">
        <v>543</v>
      </c>
      <c r="E70" s="360" t="s">
        <v>448</v>
      </c>
      <c r="F70" s="152" t="str">
        <f>IF(G3=3,-0.044,"")</f>
        <v/>
      </c>
      <c r="G70" s="152" t="str">
        <f>IF(G3=3,-0.089,"")</f>
        <v/>
      </c>
      <c r="H70" s="152" t="str">
        <f>IF(G3=3,-0.133,"")</f>
        <v/>
      </c>
      <c r="I70" s="152" t="str">
        <f>IF(G3=3,0.2,"")</f>
        <v/>
      </c>
      <c r="J70" s="152" t="str">
        <f>IF(G3=3,0.2,"")</f>
        <v/>
      </c>
      <c r="K70" s="361" t="str">
        <f>IF(G3=3,"","")</f>
        <v/>
      </c>
    </row>
    <row r="71" spans="4:11" x14ac:dyDescent="0.25">
      <c r="D71" s="358"/>
      <c r="E71" s="356" t="s">
        <v>538</v>
      </c>
      <c r="F71" s="152" t="str">
        <f>IF(G3=3,F70*K31,"")</f>
        <v/>
      </c>
      <c r="G71" s="152" t="str">
        <f>IF(G3=3,G70*K31,"")</f>
        <v/>
      </c>
      <c r="H71" s="152" t="str">
        <f>IF(G3=3,H70*K31,"")</f>
        <v/>
      </c>
      <c r="I71" s="152" t="str">
        <f>IF(G3=3,I70*K31,"")</f>
        <v/>
      </c>
      <c r="J71" s="152" t="str">
        <f>IF(G3=3,J70*K31,"")</f>
        <v/>
      </c>
      <c r="K71" s="361" t="str">
        <f>IF(G3=3,H71,"")</f>
        <v/>
      </c>
    </row>
    <row r="72" spans="4:11" x14ac:dyDescent="0.25">
      <c r="D72" s="355" t="s">
        <v>544</v>
      </c>
      <c r="E72" s="360" t="s">
        <v>448</v>
      </c>
      <c r="F72" s="361" t="str">
        <f>IF(G3=3,"","")</f>
        <v/>
      </c>
      <c r="G72" s="361" t="str">
        <f>IF(G3=3,"","")</f>
        <v/>
      </c>
      <c r="H72" s="152" t="str">
        <f>IF(G3=3,-0.133,"")</f>
        <v/>
      </c>
      <c r="I72" s="361" t="str">
        <f>IF(G3=3,"","")</f>
        <v/>
      </c>
      <c r="J72" s="361" t="str">
        <f>IF(G3=3,"","")</f>
        <v/>
      </c>
      <c r="K72" s="152" t="str">
        <f>IF(G3=3,-0.08,"")</f>
        <v/>
      </c>
    </row>
    <row r="73" spans="4:11" x14ac:dyDescent="0.25">
      <c r="D73" s="358"/>
      <c r="E73" s="356" t="s">
        <v>538</v>
      </c>
      <c r="F73" s="361" t="str">
        <f>IF(G3=3,I47+H73/3,"")</f>
        <v/>
      </c>
      <c r="G73" s="361" t="str">
        <f>IF(G3=3,I47+H73*2/3,"")</f>
        <v/>
      </c>
      <c r="H73" s="152" t="str">
        <f>IF(G3=3,H72*K31,"")</f>
        <v/>
      </c>
      <c r="I73" s="361" t="str">
        <f>IF(G3=3,I47+(H73-K73)*2/3,"")</f>
        <v/>
      </c>
      <c r="J73" s="361" t="str">
        <f>IF(G3=3,I47+(H73-K73)/3,"")</f>
        <v/>
      </c>
      <c r="K73" s="152" t="str">
        <f>IF(G3=3,K72*K31,"")</f>
        <v/>
      </c>
    </row>
    <row r="74" spans="4:11" x14ac:dyDescent="0.25">
      <c r="D74" s="355" t="s">
        <v>545</v>
      </c>
      <c r="E74" s="360" t="s">
        <v>448</v>
      </c>
      <c r="F74" s="361" t="str">
        <f>IF(G3=3,"","")</f>
        <v/>
      </c>
      <c r="G74" s="361" t="str">
        <f>IF(G3=3,"","")</f>
        <v/>
      </c>
      <c r="H74" s="152" t="str">
        <f>IF(G3=3,0.044,"")</f>
        <v/>
      </c>
      <c r="I74" s="361" t="str">
        <f>IF(G3=3,"","")</f>
        <v/>
      </c>
      <c r="J74" s="361" t="str">
        <f>IF(G3=3,"","")</f>
        <v/>
      </c>
      <c r="K74" s="152" t="str">
        <f>IF(G3=3,-0.178,"")</f>
        <v/>
      </c>
    </row>
    <row r="75" spans="4:11" x14ac:dyDescent="0.25">
      <c r="D75" s="358"/>
      <c r="E75" s="356" t="s">
        <v>538</v>
      </c>
      <c r="F75" s="361" t="str">
        <f>IF(G3=3,H75/3,"")</f>
        <v/>
      </c>
      <c r="G75" s="361" t="str">
        <f>IF(G3=3,2*F75,"")</f>
        <v/>
      </c>
      <c r="H75" s="152" t="str">
        <f>IF(G3=3,H74*K31,"")</f>
        <v/>
      </c>
      <c r="I75" s="361" t="str">
        <f>IF(G3=3,H75+(K75-H75)/3,"")</f>
        <v/>
      </c>
      <c r="J75" s="361" t="str">
        <f>IF(G3=3,H75+2*(K75-H75)/3,"")</f>
        <v/>
      </c>
      <c r="K75" s="152" t="str">
        <f>IF(G3=3,K74*K31,"")</f>
        <v/>
      </c>
    </row>
    <row r="76" spans="4:11" x14ac:dyDescent="0.25">
      <c r="D76" s="147" t="s">
        <v>538</v>
      </c>
      <c r="E76" s="353" t="s">
        <v>539</v>
      </c>
      <c r="F76" s="152" t="str">
        <f>IF(G3=3,F67+MAX(F69,F71,F73,F75),"")</f>
        <v/>
      </c>
      <c r="G76" s="152" t="str">
        <f>IF(G3=3,G67+MAX(G69,G71,G73,G75),"")</f>
        <v/>
      </c>
      <c r="H76" s="152" t="str">
        <f>IF(G3=3,H67+MAX(H69,H71,H73,H75),"")</f>
        <v/>
      </c>
      <c r="I76" s="152" t="str">
        <f>IF(G3=3,I67+MAX(I69,I71,I73,I75),"")</f>
        <v/>
      </c>
      <c r="J76" s="152" t="str">
        <f>IF(G3=3,J67+MAX(J69,J71,J73,J75),"")</f>
        <v/>
      </c>
      <c r="K76" s="152" t="str">
        <f>IF(G3=3,K67+MAX(K69,K71,K73,K75),"")</f>
        <v/>
      </c>
    </row>
    <row r="77" spans="4:11" x14ac:dyDescent="0.25">
      <c r="D77" s="147" t="s">
        <v>538</v>
      </c>
      <c r="E77" s="353" t="s">
        <v>540</v>
      </c>
      <c r="F77" s="152" t="str">
        <f>IF(G3=3,F67+MIN(F69,F71,F73,F75),"")</f>
        <v/>
      </c>
      <c r="G77" s="152" t="str">
        <f>IF(G3=3,G67+MIN(G69,G71,G73,G75),"")</f>
        <v/>
      </c>
      <c r="H77" s="152" t="str">
        <f>IF(G3=3,H67+MIN(H69,H71,H73,H75),"")</f>
        <v/>
      </c>
      <c r="I77" s="152" t="str">
        <f>IF(G3=3,I67+MIN(I69,I71,I73,I75),"")</f>
        <v/>
      </c>
      <c r="J77" s="152" t="str">
        <f>IF(G3=3,J67+MIN(J69,J71,J73,J75),"")</f>
        <v/>
      </c>
      <c r="K77" s="152" t="str">
        <f>IF(G3=3,K67+MIN(K69,K71,K73,K75),"")</f>
        <v/>
      </c>
    </row>
    <row r="79" spans="4:11" x14ac:dyDescent="0.25">
      <c r="E79" s="126" t="str">
        <f>IF(G3&lt;&gt;4,"","Bảng 4.1. Tính toán và tổ hợp mômen")</f>
        <v>Bảng 4.1. Tính toán và tổ hợp mômen</v>
      </c>
      <c r="J79" s="222" t="str">
        <f>IF(G3&lt;&gt;4,"","(dầm 4 nhịp)")</f>
        <v>(dầm 4 nhịp)</v>
      </c>
    </row>
    <row r="80" spans="4:11" x14ac:dyDescent="0.25">
      <c r="D80" s="249" t="s">
        <v>537</v>
      </c>
      <c r="E80" s="144" t="s">
        <v>534</v>
      </c>
      <c r="F80" s="257">
        <v>1</v>
      </c>
      <c r="G80" s="257">
        <v>2</v>
      </c>
      <c r="H80" s="257" t="s">
        <v>11</v>
      </c>
      <c r="I80" s="257">
        <v>3</v>
      </c>
      <c r="J80" s="257">
        <v>4</v>
      </c>
      <c r="K80" s="257" t="s">
        <v>548</v>
      </c>
    </row>
    <row r="81" spans="4:11" x14ac:dyDescent="0.25">
      <c r="D81" s="352" t="s">
        <v>536</v>
      </c>
      <c r="E81" s="146" t="s">
        <v>535</v>
      </c>
      <c r="F81" s="354"/>
      <c r="G81" s="354"/>
      <c r="H81" s="354"/>
      <c r="I81" s="354"/>
      <c r="J81" s="354"/>
      <c r="K81" s="354"/>
    </row>
    <row r="82" spans="4:11" x14ac:dyDescent="0.25">
      <c r="D82" s="257" t="s">
        <v>541</v>
      </c>
      <c r="E82" s="154" t="s">
        <v>448</v>
      </c>
      <c r="F82" s="152">
        <f>IF(G3=4,0.238,"")</f>
        <v>0.23799999999999999</v>
      </c>
      <c r="G82" s="152">
        <f>IF(G3=4,0.143,"")</f>
        <v>0.14299999999999999</v>
      </c>
      <c r="H82" s="152">
        <f>IF(G3=4,-0.286,"")</f>
        <v>-0.28599999999999998</v>
      </c>
      <c r="I82" s="152">
        <f>IF(G3=4,0.079,"")</f>
        <v>7.9000000000000001E-2</v>
      </c>
      <c r="J82" s="152">
        <f>IF(G3=4,0.111,"")</f>
        <v>0.111</v>
      </c>
      <c r="K82" s="152">
        <f>IF(G3=4,-0.19,"")</f>
        <v>-0.19</v>
      </c>
    </row>
    <row r="83" spans="4:11" x14ac:dyDescent="0.25">
      <c r="D83" s="354"/>
      <c r="E83" s="220" t="s">
        <v>538</v>
      </c>
      <c r="F83" s="152">
        <f>IF(G3=4,F82*K27,"")</f>
        <v>134.04217881600002</v>
      </c>
      <c r="G83" s="152">
        <f>IF(G3=4,G82*K27,"")</f>
        <v>80.537947775999996</v>
      </c>
      <c r="H83" s="152">
        <f>IF(G3=4,H82*K27,"")</f>
        <v>-161.07589555199999</v>
      </c>
      <c r="I83" s="152">
        <f>IF(G3=4,I82*K27,"")</f>
        <v>44.492992128000004</v>
      </c>
      <c r="J83" s="152">
        <f>IF(G3=4,J82*K27,"")</f>
        <v>62.515469952000004</v>
      </c>
      <c r="K83" s="152">
        <f>IF(G3=4,K82*K27,"")</f>
        <v>-107.00846208000002</v>
      </c>
    </row>
    <row r="84" spans="4:11" x14ac:dyDescent="0.25">
      <c r="D84" s="257" t="s">
        <v>542</v>
      </c>
      <c r="E84" s="154" t="s">
        <v>448</v>
      </c>
      <c r="F84" s="152">
        <f>IF(G3=4,0.286,"")</f>
        <v>0.28599999999999998</v>
      </c>
      <c r="G84" s="152">
        <f>IF(G3=4,0.238,"")</f>
        <v>0.23799999999999999</v>
      </c>
      <c r="H84" s="152">
        <f>IF(G3=4,-0.143,"")</f>
        <v>-0.14299999999999999</v>
      </c>
      <c r="I84" s="152">
        <f>IF(G3=4,-0.127,"")</f>
        <v>-0.127</v>
      </c>
      <c r="J84" s="152">
        <f>IF(G3=4,-0.111,"")</f>
        <v>-0.111</v>
      </c>
      <c r="K84" s="152">
        <f>IF(G3=4,-0.095,"")</f>
        <v>-9.5000000000000001E-2</v>
      </c>
    </row>
    <row r="85" spans="4:11" x14ac:dyDescent="0.25">
      <c r="D85" s="354"/>
      <c r="E85" s="220" t="s">
        <v>538</v>
      </c>
      <c r="F85" s="152">
        <f>IF(G3=4,F84*K31,"")</f>
        <v>206.7148512</v>
      </c>
      <c r="G85" s="152">
        <f>IF(G3=4,G84*K31,"")</f>
        <v>172.02144960000001</v>
      </c>
      <c r="H85" s="152">
        <f>IF(G3=4,H84*K31,"")</f>
        <v>-103.3574256</v>
      </c>
      <c r="I85" s="152">
        <f>IF(G3=4,I84*K31,"")</f>
        <v>-91.792958400000003</v>
      </c>
      <c r="J85" s="152">
        <f>IF(G3=4,J84*K31,"")</f>
        <v>-80.228491200000008</v>
      </c>
      <c r="K85" s="152">
        <f>IF(G3=4,K84*K31,"")</f>
        <v>-68.664024000000012</v>
      </c>
    </row>
    <row r="86" spans="4:11" x14ac:dyDescent="0.25">
      <c r="D86" s="355" t="s">
        <v>543</v>
      </c>
      <c r="E86" s="360" t="s">
        <v>448</v>
      </c>
      <c r="F86" s="152">
        <f>IF(G3=4,-0.048,"")</f>
        <v>-4.8000000000000001E-2</v>
      </c>
      <c r="G86" s="152">
        <f>IF(G3=4,-0.095,"")</f>
        <v>-9.5000000000000001E-2</v>
      </c>
      <c r="H86" s="152">
        <f>IF(G3=4,-0.143,"")</f>
        <v>-0.14299999999999999</v>
      </c>
      <c r="I86" s="152">
        <f>IF(G3=4,0.206,"")</f>
        <v>0.20599999999999999</v>
      </c>
      <c r="J86" s="152">
        <f>IF(G3=4,0.222,"")</f>
        <v>0.222</v>
      </c>
      <c r="K86" s="152">
        <f>IF(G3=4,-0.095,"")</f>
        <v>-9.5000000000000001E-2</v>
      </c>
    </row>
    <row r="87" spans="4:11" x14ac:dyDescent="0.25">
      <c r="D87" s="358"/>
      <c r="E87" s="356" t="s">
        <v>538</v>
      </c>
      <c r="F87" s="357">
        <f>IF(G3=4,F86*K31,"")</f>
        <v>-34.693401600000001</v>
      </c>
      <c r="G87" s="357">
        <f>IF(G3=4,G86*K31,"")</f>
        <v>-68.664024000000012</v>
      </c>
      <c r="H87" s="357">
        <f>IF(G3=4,H86*K31,"")</f>
        <v>-103.3574256</v>
      </c>
      <c r="I87" s="357">
        <f>IF(G3=4,I86*K31,"")</f>
        <v>148.89251519999999</v>
      </c>
      <c r="J87" s="357">
        <f>IF(G3=4,J86*K31,"")</f>
        <v>160.45698240000002</v>
      </c>
      <c r="K87" s="357">
        <f>IF(G3=4,K86*K31,"")</f>
        <v>-68.664024000000012</v>
      </c>
    </row>
    <row r="88" spans="4:11" x14ac:dyDescent="0.25">
      <c r="D88" s="355" t="s">
        <v>544</v>
      </c>
      <c r="E88" s="360" t="s">
        <v>448</v>
      </c>
      <c r="F88" s="361" t="str">
        <f>IF(G3=4,"","")</f>
        <v/>
      </c>
      <c r="G88" s="361" t="str">
        <f>IF(G3=4,"","")</f>
        <v/>
      </c>
      <c r="H88" s="152">
        <f>IF(G3=4,-0.321,"")</f>
        <v>-0.32100000000000001</v>
      </c>
      <c r="I88" s="361" t="str">
        <f>IF(G3=4,"","")</f>
        <v/>
      </c>
      <c r="J88" s="361" t="str">
        <f>IF(G3=4,"","")</f>
        <v/>
      </c>
      <c r="K88" s="152">
        <f>IF(G3=4,-0.048,"")</f>
        <v>-4.8000000000000001E-2</v>
      </c>
    </row>
    <row r="89" spans="4:11" x14ac:dyDescent="0.25">
      <c r="D89" s="358"/>
      <c r="E89" s="356" t="s">
        <v>538</v>
      </c>
      <c r="F89" s="402">
        <f>IF(G3=4,I47+H89/3,"")</f>
        <v>163.58902560000001</v>
      </c>
      <c r="G89" s="402">
        <f>IF(G3=4,I47+H89*2/3,"")</f>
        <v>86.251651199999998</v>
      </c>
      <c r="H89" s="357">
        <f>IF(G3=4,H88*K31,"")</f>
        <v>-232.01212320000002</v>
      </c>
      <c r="I89" s="402">
        <f>IF(G3=4,(I47+(H89-K89)*2/3+K89),"")</f>
        <v>74.687183999999988</v>
      </c>
      <c r="J89" s="402">
        <f>IF(G3=4,(I47+(H89-K89)*1/3+K89),"")</f>
        <v>140.46009119999997</v>
      </c>
      <c r="K89" s="357">
        <f>IF(G3=4,K88*K31,"")</f>
        <v>-34.693401600000001</v>
      </c>
    </row>
    <row r="90" spans="4:11" x14ac:dyDescent="0.25">
      <c r="D90" s="355" t="s">
        <v>545</v>
      </c>
      <c r="E90" s="360" t="s">
        <v>448</v>
      </c>
      <c r="F90" s="152">
        <f>IF(G3=4,-0.031,"")</f>
        <v>-3.1E-2</v>
      </c>
      <c r="G90" s="152">
        <f>IF(G3=4,-0.063,"")</f>
        <v>-6.3E-2</v>
      </c>
      <c r="H90" s="152">
        <f>IF(G3=4,-0.095,"")</f>
        <v>-9.5000000000000001E-2</v>
      </c>
      <c r="I90" s="152" t="str">
        <f>IF(G3=4,"","")</f>
        <v/>
      </c>
      <c r="J90" s="152" t="str">
        <f>IF(G3=4,"","")</f>
        <v/>
      </c>
      <c r="K90" s="152">
        <f>IF(G3=4,-0.286,"")</f>
        <v>-0.28599999999999998</v>
      </c>
    </row>
    <row r="91" spans="4:11" x14ac:dyDescent="0.25">
      <c r="D91" s="358"/>
      <c r="E91" s="356" t="s">
        <v>538</v>
      </c>
      <c r="F91" s="357">
        <f>IF(G3=4,F90*K31,"")</f>
        <v>-22.406155200000001</v>
      </c>
      <c r="G91" s="357">
        <f>IF(G3=4,G90*K31,"")</f>
        <v>-45.535089600000006</v>
      </c>
      <c r="H91" s="357">
        <f>IF(G3=4,H90*K31,"")</f>
        <v>-68.664024000000012</v>
      </c>
      <c r="I91" s="357">
        <f>IF(G3=4,(I47+(H91-K91)*2/3+K91),"")</f>
        <v>126.24543360000001</v>
      </c>
      <c r="J91" s="357">
        <f>IF(G3=4,(I47+(H91-K91)*1/3+K91),"")</f>
        <v>80.228491200000008</v>
      </c>
      <c r="K91" s="357">
        <f>IF(G3=4,K90*K31,"")</f>
        <v>-206.7148512</v>
      </c>
    </row>
    <row r="92" spans="4:11" x14ac:dyDescent="0.25">
      <c r="D92" s="355" t="s">
        <v>546</v>
      </c>
      <c r="E92" s="360" t="s">
        <v>448</v>
      </c>
      <c r="F92" s="152" t="str">
        <f>IF(G3=4,"","")</f>
        <v/>
      </c>
      <c r="G92" s="152" t="str">
        <f>IF(G3=4,"","")</f>
        <v/>
      </c>
      <c r="H92" s="152">
        <f>IF(G3=4,-0.19,"")</f>
        <v>-0.19</v>
      </c>
      <c r="I92" s="152" t="str">
        <f>IF(G3=4,"","")</f>
        <v/>
      </c>
      <c r="J92" s="152" t="str">
        <f>IF(G3=4,"","")</f>
        <v/>
      </c>
      <c r="K92" s="152">
        <f>IF(G3=4,0.095,"")</f>
        <v>9.5000000000000001E-2</v>
      </c>
    </row>
    <row r="93" spans="4:11" x14ac:dyDescent="0.25">
      <c r="D93" s="358"/>
      <c r="E93" s="356" t="s">
        <v>538</v>
      </c>
      <c r="F93" s="402">
        <f>IF(G3=4,I47+H93*1/3,"")</f>
        <v>195.150384</v>
      </c>
      <c r="G93" s="402">
        <f>IF(G3=4,(I47+(H93*2/3)),"")</f>
        <v>149.374368</v>
      </c>
      <c r="H93" s="357">
        <f>IF(G3=4,H92*K31,"")</f>
        <v>-137.32804800000002</v>
      </c>
      <c r="I93" s="402">
        <f>IF(G3=4,H93/2,"")</f>
        <v>-68.664024000000012</v>
      </c>
      <c r="J93" s="403">
        <f>IF(G3=4,0,"")</f>
        <v>0</v>
      </c>
      <c r="K93" s="357">
        <f>IF(G3=4,K92*K31,"")</f>
        <v>68.664024000000012</v>
      </c>
    </row>
    <row r="94" spans="4:11" x14ac:dyDescent="0.25">
      <c r="D94" s="355" t="s">
        <v>547</v>
      </c>
      <c r="E94" s="360" t="s">
        <v>448</v>
      </c>
      <c r="F94" s="152" t="str">
        <f>IF(G3=4,"","")</f>
        <v/>
      </c>
      <c r="G94" s="152" t="str">
        <f>IF(G15=4,"","")</f>
        <v/>
      </c>
      <c r="H94" s="152">
        <f>IF(G3=4,0.036,"")</f>
        <v>3.5999999999999997E-2</v>
      </c>
      <c r="I94" s="152" t="str">
        <f>IF(G3=4,"","")</f>
        <v/>
      </c>
      <c r="J94" s="152" t="str">
        <f>IF(G3=4,"","")</f>
        <v/>
      </c>
      <c r="K94" s="152">
        <f>IF(G3=4,-0.143,"")</f>
        <v>-0.14299999999999999</v>
      </c>
    </row>
    <row r="95" spans="4:11" x14ac:dyDescent="0.25">
      <c r="D95" s="359"/>
      <c r="E95" s="356" t="s">
        <v>538</v>
      </c>
      <c r="F95" s="402">
        <f>IF(G3=4,H95/3,"")</f>
        <v>8.6733504000000003</v>
      </c>
      <c r="G95" s="402">
        <f>IF(G3=4,2*H95/3,"")</f>
        <v>17.346700800000001</v>
      </c>
      <c r="H95" s="357">
        <f>IF(G3=4,H94*K31,"")</f>
        <v>26.020051200000001</v>
      </c>
      <c r="I95" s="402">
        <f>IF(G3=4,-G95,"")</f>
        <v>-17.346700800000001</v>
      </c>
      <c r="J95" s="402">
        <f>IF(G3=4,2*I95-H95,"")</f>
        <v>-60.713452799999999</v>
      </c>
      <c r="K95" s="357">
        <f>IF(G3=4,3*I95-2*H95,"")</f>
        <v>-104.0802048</v>
      </c>
    </row>
    <row r="96" spans="4:11" x14ac:dyDescent="0.25">
      <c r="D96" s="147" t="s">
        <v>538</v>
      </c>
      <c r="E96" s="353" t="s">
        <v>539</v>
      </c>
      <c r="F96" s="152">
        <f>IF(G3=4,F83+MAX(F85,F87,F89,F91,F93,F95),"")</f>
        <v>340.75703001600004</v>
      </c>
      <c r="G96" s="152">
        <f>IF(G3=4,G83+MAX(G85,G87,G89,G91,G93,G95),"")</f>
        <v>252.55939737599999</v>
      </c>
      <c r="H96" s="152">
        <f>IF(G3=4,H83+MAX(H85,H87,H89,H91,H93,H95),"")</f>
        <v>-135.05584435199998</v>
      </c>
      <c r="I96" s="152">
        <f>IF(G3=4,I83+MAX(I85,I87,I89,I91,I93,I95),"")</f>
        <v>193.38550732799999</v>
      </c>
      <c r="J96" s="152">
        <f>IF(G3=4,J83+MAX(J85,J87,J89,J91,J93,J95),"")</f>
        <v>222.972452352</v>
      </c>
      <c r="K96" s="152">
        <f>IF(G3=4,K83+MAX(K85,K87,K89,K91,K93,K95),"")</f>
        <v>-38.344438080000003</v>
      </c>
    </row>
    <row r="97" spans="4:11" x14ac:dyDescent="0.25">
      <c r="D97" s="147" t="s">
        <v>538</v>
      </c>
      <c r="E97" s="353" t="s">
        <v>540</v>
      </c>
      <c r="F97" s="152">
        <f>IF(G3=4,F83+MIN(F85,F87,F89,F91,F93,F95),"")</f>
        <v>99.348777216000016</v>
      </c>
      <c r="G97" s="152">
        <f>IF(G3=4,G83+MIN(G85,G87,G89,G91,G93,G95),"")</f>
        <v>11.873923775999984</v>
      </c>
      <c r="H97" s="152">
        <f>IF(G3=4,H83+MIN(H85,H87,H89,H91,H93,H95),"")</f>
        <v>-393.08801875200004</v>
      </c>
      <c r="I97" s="152">
        <f>IF(G3=4,I83+MIN(I85,I87,I89,I91,I93,I95),"")</f>
        <v>-47.299966271999999</v>
      </c>
      <c r="J97" s="152">
        <f>IF(G3=4,J83+MIN(J85,J87,J89,J91,J93,J95),"")</f>
        <v>-17.713021248000004</v>
      </c>
      <c r="K97" s="152">
        <f>IF(G3=4,K83+MIN(K85,K87,K89,K91,K93,K95),"")</f>
        <v>-313.72331328000001</v>
      </c>
    </row>
    <row r="98" spans="4:11" ht="16.5" thickBot="1" x14ac:dyDescent="0.3">
      <c r="D98" s="141"/>
      <c r="E98" s="404"/>
      <c r="F98" s="268"/>
      <c r="G98" s="268"/>
      <c r="H98" s="268"/>
      <c r="I98" s="268"/>
      <c r="J98" s="268"/>
      <c r="K98" s="268"/>
    </row>
    <row r="99" spans="4:11" x14ac:dyDescent="0.25">
      <c r="D99" s="409"/>
      <c r="E99" s="410"/>
      <c r="F99" s="411"/>
      <c r="G99" s="411"/>
      <c r="H99" s="411"/>
      <c r="I99" s="411"/>
      <c r="J99" s="411"/>
      <c r="K99" s="412"/>
    </row>
    <row r="100" spans="4:11" x14ac:dyDescent="0.25">
      <c r="D100" s="413"/>
      <c r="E100" s="407"/>
      <c r="F100" s="408"/>
      <c r="G100" s="408"/>
      <c r="H100" s="408"/>
      <c r="I100" s="408"/>
      <c r="J100" s="408"/>
      <c r="K100" s="414"/>
    </row>
    <row r="101" spans="4:11" x14ac:dyDescent="0.25">
      <c r="D101" s="413"/>
      <c r="E101" s="407"/>
      <c r="F101" s="408"/>
      <c r="G101" s="408"/>
      <c r="H101" s="408"/>
      <c r="I101" s="408"/>
      <c r="J101" s="408"/>
      <c r="K101" s="414"/>
    </row>
    <row r="102" spans="4:11" x14ac:dyDescent="0.25">
      <c r="D102" s="413"/>
      <c r="E102" s="407"/>
      <c r="F102" s="408"/>
      <c r="G102" s="408"/>
      <c r="H102" s="408"/>
      <c r="I102" s="408"/>
      <c r="J102" s="408"/>
      <c r="K102" s="414"/>
    </row>
    <row r="103" spans="4:11" x14ac:dyDescent="0.25">
      <c r="D103" s="413"/>
      <c r="E103" s="407"/>
      <c r="F103" s="408"/>
      <c r="G103" s="408"/>
      <c r="H103" s="408"/>
      <c r="I103" s="408"/>
      <c r="J103" s="408"/>
      <c r="K103" s="414"/>
    </row>
    <row r="104" spans="4:11" x14ac:dyDescent="0.25">
      <c r="D104" s="413"/>
      <c r="E104" s="407"/>
      <c r="F104" s="408"/>
      <c r="G104" s="408"/>
      <c r="H104" s="408"/>
      <c r="I104" s="408"/>
      <c r="J104" s="408"/>
      <c r="K104" s="414"/>
    </row>
    <row r="105" spans="4:11" x14ac:dyDescent="0.25">
      <c r="D105" s="413"/>
      <c r="E105" s="407"/>
      <c r="F105" s="408"/>
      <c r="G105" s="408"/>
      <c r="H105" s="408"/>
      <c r="I105" s="408"/>
      <c r="J105" s="408"/>
      <c r="K105" s="414"/>
    </row>
    <row r="106" spans="4:11" x14ac:dyDescent="0.25">
      <c r="D106" s="413"/>
      <c r="E106" s="407"/>
      <c r="F106" s="408"/>
      <c r="G106" s="408"/>
      <c r="H106" s="408"/>
      <c r="I106" s="408"/>
      <c r="J106" s="408"/>
      <c r="K106" s="414"/>
    </row>
    <row r="107" spans="4:11" x14ac:dyDescent="0.25">
      <c r="D107" s="413"/>
      <c r="E107" s="407"/>
      <c r="F107" s="408" t="s">
        <v>620</v>
      </c>
      <c r="G107" s="408"/>
      <c r="H107" s="408"/>
      <c r="I107" s="408"/>
      <c r="J107" s="408"/>
      <c r="K107" s="414"/>
    </row>
    <row r="108" spans="4:11" x14ac:dyDescent="0.25">
      <c r="D108" s="413"/>
      <c r="E108" s="407"/>
      <c r="F108" s="408"/>
      <c r="G108" s="408"/>
      <c r="H108" s="408"/>
      <c r="I108" s="408"/>
      <c r="J108" s="408"/>
      <c r="K108" s="414"/>
    </row>
    <row r="109" spans="4:11" x14ac:dyDescent="0.25">
      <c r="D109" s="413"/>
      <c r="E109" s="407"/>
      <c r="F109" s="408"/>
      <c r="G109" s="408"/>
      <c r="H109" s="408"/>
      <c r="I109" s="408"/>
      <c r="J109" s="408"/>
      <c r="K109" s="414"/>
    </row>
    <row r="110" spans="4:11" x14ac:dyDescent="0.25">
      <c r="D110" s="413"/>
      <c r="E110" s="407"/>
      <c r="F110" s="408"/>
      <c r="G110" s="408"/>
      <c r="H110" s="408"/>
      <c r="I110" s="408"/>
      <c r="J110" s="408"/>
      <c r="K110" s="414"/>
    </row>
    <row r="111" spans="4:11" x14ac:dyDescent="0.25">
      <c r="D111" s="413"/>
      <c r="E111" s="407"/>
      <c r="F111" s="408"/>
      <c r="G111" s="408"/>
      <c r="H111" s="408"/>
      <c r="I111" s="408"/>
      <c r="J111" s="408"/>
      <c r="K111" s="414"/>
    </row>
    <row r="112" spans="4:11" x14ac:dyDescent="0.25">
      <c r="D112" s="413"/>
      <c r="E112" s="407"/>
      <c r="F112" s="408"/>
      <c r="G112" s="408"/>
      <c r="H112" s="408"/>
      <c r="I112" s="408"/>
      <c r="J112" s="408"/>
      <c r="K112" s="414"/>
    </row>
    <row r="113" spans="4:11" x14ac:dyDescent="0.25">
      <c r="D113" s="413"/>
      <c r="E113" s="407"/>
      <c r="F113" s="408"/>
      <c r="G113" s="408"/>
      <c r="H113" s="408"/>
      <c r="I113" s="408"/>
      <c r="J113" s="408"/>
      <c r="K113" s="414"/>
    </row>
    <row r="114" spans="4:11" x14ac:dyDescent="0.25">
      <c r="D114" s="413"/>
      <c r="E114" s="407"/>
      <c r="F114" s="408"/>
      <c r="G114" s="408"/>
      <c r="H114" s="408"/>
      <c r="I114" s="408"/>
      <c r="J114" s="408"/>
      <c r="K114" s="414"/>
    </row>
    <row r="115" spans="4:11" x14ac:dyDescent="0.25">
      <c r="D115" s="413"/>
      <c r="E115" s="407"/>
      <c r="F115" s="408"/>
      <c r="G115" s="408"/>
      <c r="H115" s="408"/>
      <c r="I115" s="408"/>
      <c r="J115" s="408"/>
      <c r="K115" s="414"/>
    </row>
    <row r="116" spans="4:11" x14ac:dyDescent="0.25">
      <c r="D116" s="413"/>
      <c r="E116" s="407"/>
      <c r="F116" s="408"/>
      <c r="G116" s="408"/>
      <c r="H116" s="408"/>
      <c r="I116" s="408"/>
      <c r="J116" s="408"/>
      <c r="K116" s="414"/>
    </row>
    <row r="117" spans="4:11" x14ac:dyDescent="0.25">
      <c r="D117" s="413"/>
      <c r="E117" s="407"/>
      <c r="F117" s="408"/>
      <c r="G117" s="408"/>
      <c r="H117" s="408"/>
      <c r="I117" s="408"/>
      <c r="J117" s="408"/>
      <c r="K117" s="414"/>
    </row>
    <row r="118" spans="4:11" x14ac:dyDescent="0.25">
      <c r="D118" s="413"/>
      <c r="E118" s="407"/>
      <c r="F118" s="408"/>
      <c r="G118" s="408"/>
      <c r="H118" s="408"/>
      <c r="I118" s="408"/>
      <c r="J118" s="408"/>
      <c r="K118" s="414"/>
    </row>
    <row r="119" spans="4:11" ht="16.5" thickBot="1" x14ac:dyDescent="0.3">
      <c r="D119" s="334"/>
      <c r="E119" s="335"/>
      <c r="F119" s="335"/>
      <c r="G119" s="335"/>
      <c r="H119" s="335"/>
      <c r="I119" s="335"/>
      <c r="J119" s="335"/>
      <c r="K119" s="337"/>
    </row>
    <row r="120" spans="4:11" x14ac:dyDescent="0.25">
      <c r="D120" s="3" t="s">
        <v>604</v>
      </c>
    </row>
    <row r="121" spans="4:11" x14ac:dyDescent="0.25">
      <c r="D121" s="3" t="s">
        <v>605</v>
      </c>
    </row>
    <row r="122" spans="4:11" ht="19.5" x14ac:dyDescent="0.25">
      <c r="E122" s="232" t="s">
        <v>606</v>
      </c>
      <c r="H122" s="232" t="s">
        <v>607</v>
      </c>
    </row>
    <row r="123" spans="4:11" x14ac:dyDescent="0.25">
      <c r="D123" s="3" t="s">
        <v>608</v>
      </c>
    </row>
    <row r="124" spans="4:11" x14ac:dyDescent="0.25">
      <c r="D124" s="3" t="s">
        <v>99</v>
      </c>
    </row>
    <row r="125" spans="4:11" x14ac:dyDescent="0.25">
      <c r="D125" s="3" t="s">
        <v>99</v>
      </c>
    </row>
    <row r="126" spans="4:11" x14ac:dyDescent="0.25">
      <c r="D126" s="3" t="s">
        <v>99</v>
      </c>
    </row>
    <row r="127" spans="4:11" x14ac:dyDescent="0.25">
      <c r="D127" s="3" t="s">
        <v>609</v>
      </c>
    </row>
    <row r="128" spans="4:11" x14ac:dyDescent="0.25">
      <c r="D128" s="3" t="s">
        <v>610</v>
      </c>
    </row>
    <row r="130" spans="4:14" x14ac:dyDescent="0.25">
      <c r="E130"/>
    </row>
    <row r="133" spans="4:14" x14ac:dyDescent="0.25">
      <c r="E133" s="3" t="s">
        <v>611</v>
      </c>
      <c r="F133" s="246">
        <f>IF(G3=3,I67,IF(G3=4,I83))</f>
        <v>44.492992128000004</v>
      </c>
      <c r="G133" s="2" t="s">
        <v>123</v>
      </c>
      <c r="H133" s="246">
        <f>IF(G3=3,I73,IF(G3=4,I89))</f>
        <v>74.687183999999988</v>
      </c>
      <c r="I133" s="2" t="s">
        <v>76</v>
      </c>
      <c r="J133" s="135">
        <f>F133+H133</f>
        <v>119.180176128</v>
      </c>
      <c r="K133" s="3" t="s">
        <v>426</v>
      </c>
    </row>
    <row r="134" spans="4:14" x14ac:dyDescent="0.25">
      <c r="G134" s="131">
        <f>'Nhập dữ liệu'!E13/1000</f>
        <v>0.3</v>
      </c>
      <c r="H134" s="2" t="s">
        <v>612</v>
      </c>
      <c r="I134" s="135">
        <f>F135</f>
        <v>393.08801875200004</v>
      </c>
      <c r="J134" s="129" t="s">
        <v>123</v>
      </c>
      <c r="K134" s="135">
        <f>J133</f>
        <v>119.180176128</v>
      </c>
      <c r="L134" s="3" t="s">
        <v>161</v>
      </c>
    </row>
    <row r="135" spans="4:14" ht="20.25" x14ac:dyDescent="0.25">
      <c r="E135"/>
      <c r="F135" s="246">
        <f>IF(G3=3,ABS(H77),IF(G3=4,ABS(H97)))</f>
        <v>393.08801875200004</v>
      </c>
      <c r="G135" s="127" t="s">
        <v>613</v>
      </c>
      <c r="M135" s="135">
        <f>F135-(G134*(I134+K134)/(2*J136))</f>
        <v>363.53408443200004</v>
      </c>
      <c r="N135" s="3" t="s">
        <v>426</v>
      </c>
    </row>
    <row r="136" spans="4:14" x14ac:dyDescent="0.25">
      <c r="I136" s="129" t="s">
        <v>614</v>
      </c>
      <c r="J136" s="3">
        <f>'Nhập dữ liệu'!B13</f>
        <v>2.6</v>
      </c>
    </row>
    <row r="137" spans="4:14" x14ac:dyDescent="0.25">
      <c r="D137" s="3" t="s">
        <v>99</v>
      </c>
    </row>
    <row r="138" spans="4:14" x14ac:dyDescent="0.25">
      <c r="D138" s="3" t="s">
        <v>99</v>
      </c>
    </row>
    <row r="139" spans="4:14" x14ac:dyDescent="0.25">
      <c r="D139" s="3" t="str">
        <f>IF(G3&gt;3,"Tương tự tại gối C: ","")</f>
        <v xml:space="preserve">Tương tự tại gối C: </v>
      </c>
    </row>
    <row r="141" spans="4:14" x14ac:dyDescent="0.25">
      <c r="E141" s="232" t="str">
        <f>IF(G3=4,"M4 =","")</f>
        <v>M4 =</v>
      </c>
      <c r="F141" s="246">
        <f>IF(G3=4,J83,"")</f>
        <v>62.515469952000004</v>
      </c>
      <c r="G141" s="129" t="str">
        <f>IF(G3=4,"+","")</f>
        <v>+</v>
      </c>
      <c r="H141" s="246">
        <f>IF(G3=4,J89,"")</f>
        <v>140.46009119999997</v>
      </c>
      <c r="I141" s="2" t="str">
        <f>IF(G3=4,"=","")</f>
        <v>=</v>
      </c>
      <c r="J141" s="3">
        <f>IF(G3=4,F141+H141,"")</f>
        <v>202.97556115199995</v>
      </c>
      <c r="K141" s="3" t="str">
        <f>IF(G3=4,"kNm;","")</f>
        <v>kNm;</v>
      </c>
    </row>
    <row r="142" spans="4:14" x14ac:dyDescent="0.25">
      <c r="G142" s="131">
        <f>IF(G3=4,'Nhập dữ liệu'!E13/1000,"")</f>
        <v>0.3</v>
      </c>
      <c r="H142" s="2" t="str">
        <f>IF(G3=4,".(","")</f>
        <v>.(</v>
      </c>
      <c r="I142" s="135">
        <f>IF(G3=4,F143,"")</f>
        <v>313.72331328000001</v>
      </c>
      <c r="J142" s="129" t="str">
        <f>IF(G3=4,"+","")</f>
        <v>+</v>
      </c>
      <c r="K142" s="135">
        <f>IF(G3=4,J141,"")</f>
        <v>202.97556115199995</v>
      </c>
      <c r="L142" s="3" t="str">
        <f>IF(G3=4,")","")</f>
        <v>)</v>
      </c>
    </row>
    <row r="143" spans="4:14" x14ac:dyDescent="0.25">
      <c r="E143"/>
      <c r="F143" s="246">
        <f>IF(G3=4,ABS(K97),"")</f>
        <v>313.72331328000001</v>
      </c>
      <c r="G143" s="127" t="str">
        <f>IF(G3=4,"-   ------------------------------------------------------------------------------   =","")</f>
        <v>-   ------------------------------------------------------------------------------   =</v>
      </c>
      <c r="M143" s="135">
        <f>IF(G3=4,F143-(G142*(I142+K142)/(2*J144)),"")</f>
        <v>283.91376283200003</v>
      </c>
      <c r="N143" s="3" t="str">
        <f>IF(G3=4,"kNm.","")</f>
        <v>kNm.</v>
      </c>
    </row>
    <row r="144" spans="4:14" x14ac:dyDescent="0.25">
      <c r="I144" s="129" t="str">
        <f>IF(G3=4,"2 .","")</f>
        <v>2 .</v>
      </c>
      <c r="J144" s="3">
        <f>IF(G3=4,'Nhập dữ liệu'!B13,"")</f>
        <v>2.6</v>
      </c>
    </row>
    <row r="145" spans="3:9" x14ac:dyDescent="0.25">
      <c r="C145" s="126" t="s">
        <v>615</v>
      </c>
    </row>
    <row r="146" spans="3:9" x14ac:dyDescent="0.25">
      <c r="D146" s="3" t="s">
        <v>616</v>
      </c>
    </row>
    <row r="147" spans="3:9" x14ac:dyDescent="0.25">
      <c r="D147" s="127" t="s">
        <v>619</v>
      </c>
      <c r="H147" s="135">
        <f>J19</f>
        <v>72.20544000000001</v>
      </c>
      <c r="I147" s="127" t="s">
        <v>617</v>
      </c>
    </row>
    <row r="148" spans="3:9" x14ac:dyDescent="0.25">
      <c r="D148" s="127" t="s">
        <v>618</v>
      </c>
      <c r="H148" s="3">
        <f>I21</f>
        <v>92.664000000000001</v>
      </c>
      <c r="I148" s="3" t="s">
        <v>617</v>
      </c>
    </row>
    <row r="149" spans="3:9" x14ac:dyDescent="0.25">
      <c r="D149" s="3" t="s">
        <v>621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169" r:id="rId4">
          <objectPr defaultSize="0" autoPict="0" r:id="rId5">
            <anchor moveWithCells="1" sizeWithCells="1">
              <from>
                <xdr:col>4</xdr:col>
                <xdr:colOff>0</xdr:colOff>
                <xdr:row>128</xdr:row>
                <xdr:rowOff>200025</xdr:rowOff>
              </from>
              <to>
                <xdr:col>6</xdr:col>
                <xdr:colOff>723900</xdr:colOff>
                <xdr:row>131</xdr:row>
                <xdr:rowOff>200025</xdr:rowOff>
              </to>
            </anchor>
          </objectPr>
        </oleObject>
      </mc:Choice>
      <mc:Fallback>
        <oleObject progId="Equation.3" shapeId="7169" r:id="rId4"/>
      </mc:Fallback>
    </mc:AlternateContent>
    <mc:AlternateContent xmlns:mc="http://schemas.openxmlformats.org/markup-compatibility/2006">
      <mc:Choice Requires="x14">
        <oleObject progId="Equation.3" shapeId="7170" r:id="rId6">
          <objectPr defaultSize="0" autoPict="0" r:id="rId7">
            <anchor moveWithCells="1" sizeWithCells="1">
              <from>
                <xdr:col>4</xdr:col>
                <xdr:colOff>0</xdr:colOff>
                <xdr:row>134</xdr:row>
                <xdr:rowOff>0</xdr:rowOff>
              </from>
              <to>
                <xdr:col>4</xdr:col>
                <xdr:colOff>457200</xdr:colOff>
                <xdr:row>135</xdr:row>
                <xdr:rowOff>57150</xdr:rowOff>
              </to>
            </anchor>
          </objectPr>
        </oleObject>
      </mc:Choice>
      <mc:Fallback>
        <oleObject progId="Equation.3" shapeId="7170" r:id="rId6"/>
      </mc:Fallback>
    </mc:AlternateContent>
    <mc:AlternateContent xmlns:mc="http://schemas.openxmlformats.org/markup-compatibility/2006">
      <mc:Choice Requires="x14">
        <oleObject progId="Equation.3" shapeId="7173" r:id="rId8">
          <objectPr defaultSize="0" autoPict="0" r:id="rId9">
            <anchor moveWithCells="1" sizeWithCells="1">
              <from>
                <xdr:col>4</xdr:col>
                <xdr:colOff>0</xdr:colOff>
                <xdr:row>142</xdr:row>
                <xdr:rowOff>0</xdr:rowOff>
              </from>
              <to>
                <xdr:col>4</xdr:col>
                <xdr:colOff>457200</xdr:colOff>
                <xdr:row>143</xdr:row>
                <xdr:rowOff>57150</xdr:rowOff>
              </to>
            </anchor>
          </objectPr>
        </oleObject>
      </mc:Choice>
      <mc:Fallback>
        <oleObject progId="Equation.3" shapeId="7173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Nhập dữ liệu</vt:lpstr>
      <vt:lpstr>Số liệu tính</vt:lpstr>
      <vt:lpstr>Bản</vt:lpstr>
      <vt:lpstr>Dầm phụ</vt:lpstr>
      <vt:lpstr>Dầm chính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khanh</dc:creator>
  <cp:lastModifiedBy>Sony VaiO VPC CA16F</cp:lastModifiedBy>
  <dcterms:created xsi:type="dcterms:W3CDTF">2014-10-13T10:55:17Z</dcterms:created>
  <dcterms:modified xsi:type="dcterms:W3CDTF">2015-11-12T15:37:42Z</dcterms:modified>
</cp:coreProperties>
</file>